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X:\ACO_Technique\GRANDS COMPTES\3. Contrats grands comptes\Direct\CLIENTS\EDF\1. Tarifs\"/>
    </mc:Choice>
  </mc:AlternateContent>
  <xr:revisionPtr revIDLastSave="0" documentId="13_ncr:1_{D23AB973-C51E-40C2-8F3A-5746EE67FB81}" xr6:coauthVersionLast="47" xr6:coauthVersionMax="47" xr10:uidLastSave="{00000000-0000-0000-0000-000000000000}"/>
  <bookViews>
    <workbookView xWindow="-120" yWindow="-120" windowWidth="29040" windowHeight="15720" activeTab="1" xr2:uid="{C15B06E3-432C-41D9-BA50-3C3B670FB32A}"/>
  </bookViews>
  <sheets>
    <sheet name="Garantie" sheetId="3" r:id="rId1"/>
    <sheet name="Simulateur" sheetId="2" r:id="rId2"/>
  </sheets>
  <definedNames>
    <definedName name="PMSS">Garantie!$E$2</definedName>
    <definedName name="Poste">Simulateur!$E$12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" i="3" l="1"/>
  <c r="R39" i="3"/>
  <c r="W39" i="3" s="1"/>
  <c r="P15" i="3"/>
  <c r="Y16" i="2"/>
  <c r="T1" i="2"/>
  <c r="W19" i="2" l="1"/>
  <c r="W18" i="2"/>
  <c r="W17" i="2"/>
  <c r="W16" i="2"/>
  <c r="W15" i="2"/>
  <c r="W14" i="2"/>
  <c r="E13" i="2" a="1"/>
  <c r="W20" i="2" s="1"/>
  <c r="R56" i="3"/>
  <c r="W56" i="3" s="1"/>
  <c r="Q56" i="3"/>
  <c r="V56" i="3" s="1"/>
  <c r="N56" i="3"/>
  <c r="T56" i="3" s="1"/>
  <c r="M56" i="3"/>
  <c r="S56" i="3" s="1"/>
  <c r="X56" i="3" s="1"/>
  <c r="L56" i="3"/>
  <c r="K56" i="3"/>
  <c r="J56" i="3"/>
  <c r="P56" i="3" s="1"/>
  <c r="U56" i="3" s="1"/>
  <c r="I56" i="3"/>
  <c r="O56" i="3" s="1"/>
  <c r="H56" i="3"/>
  <c r="F56" i="3"/>
  <c r="W55" i="3"/>
  <c r="P55" i="3"/>
  <c r="U55" i="3" s="1"/>
  <c r="O55" i="3"/>
  <c r="N55" i="3"/>
  <c r="T55" i="3" s="1"/>
  <c r="M55" i="3"/>
  <c r="S55" i="3" s="1"/>
  <c r="X55" i="3" s="1"/>
  <c r="L55" i="3"/>
  <c r="R55" i="3" s="1"/>
  <c r="K55" i="3"/>
  <c r="Q55" i="3" s="1"/>
  <c r="V55" i="3" s="1"/>
  <c r="J55" i="3"/>
  <c r="I55" i="3"/>
  <c r="H55" i="3"/>
  <c r="F55" i="3"/>
  <c r="R54" i="3"/>
  <c r="W54" i="3" s="1"/>
  <c r="Q54" i="3"/>
  <c r="V54" i="3" s="1"/>
  <c r="P54" i="3"/>
  <c r="U54" i="3" s="1"/>
  <c r="O54" i="3"/>
  <c r="N54" i="3"/>
  <c r="T54" i="3" s="1"/>
  <c r="M54" i="3"/>
  <c r="S54" i="3" s="1"/>
  <c r="X54" i="3" s="1"/>
  <c r="L54" i="3"/>
  <c r="K54" i="3"/>
  <c r="J54" i="3"/>
  <c r="I54" i="3"/>
  <c r="H54" i="3"/>
  <c r="F54" i="3"/>
  <c r="S53" i="3"/>
  <c r="X53" i="3" s="1"/>
  <c r="Q53" i="3"/>
  <c r="V53" i="3" s="1"/>
  <c r="P53" i="3"/>
  <c r="U53" i="3" s="1"/>
  <c r="O53" i="3"/>
  <c r="M53" i="3"/>
  <c r="L53" i="3"/>
  <c r="R53" i="3" s="1"/>
  <c r="W53" i="3" s="1"/>
  <c r="K53" i="3"/>
  <c r="J53" i="3"/>
  <c r="I53" i="3"/>
  <c r="H53" i="3"/>
  <c r="N53" i="3" s="1"/>
  <c r="T53" i="3" s="1"/>
  <c r="F53" i="3"/>
  <c r="V51" i="3"/>
  <c r="U51" i="3"/>
  <c r="T51" i="3"/>
  <c r="S51" i="3"/>
  <c r="X51" i="3" s="1"/>
  <c r="Q51" i="3"/>
  <c r="P51" i="3"/>
  <c r="O51" i="3"/>
  <c r="N51" i="3"/>
  <c r="F51" i="3"/>
  <c r="S50" i="3"/>
  <c r="X50" i="3" s="1"/>
  <c r="Q50" i="3"/>
  <c r="V50" i="3" s="1"/>
  <c r="P50" i="3"/>
  <c r="U50" i="3" s="1"/>
  <c r="O50" i="3"/>
  <c r="N50" i="3"/>
  <c r="F50" i="3"/>
  <c r="V49" i="3"/>
  <c r="U49" i="3"/>
  <c r="T49" i="3"/>
  <c r="S49" i="3"/>
  <c r="X49" i="3" s="1"/>
  <c r="Q49" i="3"/>
  <c r="P49" i="3"/>
  <c r="O49" i="3"/>
  <c r="N49" i="3"/>
  <c r="F49" i="3"/>
  <c r="T48" i="3"/>
  <c r="S48" i="3"/>
  <c r="X48" i="3" s="1"/>
  <c r="Q48" i="3"/>
  <c r="V48" i="3" s="1"/>
  <c r="P48" i="3"/>
  <c r="U48" i="3" s="1"/>
  <c r="O48" i="3"/>
  <c r="N48" i="3"/>
  <c r="F48" i="3"/>
  <c r="V47" i="3"/>
  <c r="U47" i="3"/>
  <c r="S47" i="3"/>
  <c r="X47" i="3" s="1"/>
  <c r="R47" i="3"/>
  <c r="W47" i="3" s="1"/>
  <c r="Q47" i="3"/>
  <c r="P47" i="3"/>
  <c r="O47" i="3"/>
  <c r="N47" i="3"/>
  <c r="T47" i="3" s="1"/>
  <c r="F47" i="3"/>
  <c r="Z45" i="3"/>
  <c r="I45" i="3" s="1"/>
  <c r="O45" i="3" s="1"/>
  <c r="N45" i="3"/>
  <c r="M45" i="3"/>
  <c r="S45" i="3" s="1"/>
  <c r="X45" i="3" s="1"/>
  <c r="L45" i="3"/>
  <c r="R45" i="3" s="1"/>
  <c r="W45" i="3" s="1"/>
  <c r="K45" i="3"/>
  <c r="Q45" i="3" s="1"/>
  <c r="V45" i="3" s="1"/>
  <c r="J45" i="3"/>
  <c r="P45" i="3" s="1"/>
  <c r="U45" i="3" s="1"/>
  <c r="H45" i="3"/>
  <c r="F45" i="3"/>
  <c r="Q44" i="3"/>
  <c r="V44" i="3" s="1"/>
  <c r="P44" i="3"/>
  <c r="U44" i="3" s="1"/>
  <c r="O44" i="3"/>
  <c r="N44" i="3"/>
  <c r="M44" i="3"/>
  <c r="S44" i="3" s="1"/>
  <c r="X44" i="3" s="1"/>
  <c r="L44" i="3"/>
  <c r="R44" i="3" s="1"/>
  <c r="W44" i="3" s="1"/>
  <c r="K44" i="3"/>
  <c r="J44" i="3"/>
  <c r="I44" i="3"/>
  <c r="H44" i="3"/>
  <c r="W43" i="3"/>
  <c r="V43" i="3"/>
  <c r="U43" i="3"/>
  <c r="R43" i="3"/>
  <c r="Q43" i="3"/>
  <c r="P43" i="3"/>
  <c r="N43" i="3"/>
  <c r="M43" i="3"/>
  <c r="S43" i="3" s="1"/>
  <c r="X43" i="3" s="1"/>
  <c r="L43" i="3"/>
  <c r="K43" i="3"/>
  <c r="J43" i="3"/>
  <c r="I43" i="3"/>
  <c r="O43" i="3" s="1"/>
  <c r="H43" i="3"/>
  <c r="F43" i="3"/>
  <c r="S42" i="3"/>
  <c r="X42" i="3" s="1"/>
  <c r="M42" i="3"/>
  <c r="L42" i="3"/>
  <c r="R42" i="3" s="1"/>
  <c r="W42" i="3" s="1"/>
  <c r="K42" i="3"/>
  <c r="Q42" i="3" s="1"/>
  <c r="V42" i="3" s="1"/>
  <c r="J42" i="3"/>
  <c r="P42" i="3" s="1"/>
  <c r="U42" i="3" s="1"/>
  <c r="I42" i="3"/>
  <c r="O42" i="3" s="1"/>
  <c r="T42" i="3" s="1"/>
  <c r="H42" i="3"/>
  <c r="N42" i="3" s="1"/>
  <c r="F42" i="3"/>
  <c r="S41" i="3"/>
  <c r="X41" i="3" s="1"/>
  <c r="R41" i="3"/>
  <c r="W41" i="3" s="1"/>
  <c r="N41" i="3"/>
  <c r="M41" i="3"/>
  <c r="L41" i="3"/>
  <c r="K41" i="3"/>
  <c r="Q41" i="3" s="1"/>
  <c r="V41" i="3" s="1"/>
  <c r="J41" i="3"/>
  <c r="P41" i="3" s="1"/>
  <c r="U41" i="3" s="1"/>
  <c r="I41" i="3"/>
  <c r="O41" i="3" s="1"/>
  <c r="T41" i="3" s="1"/>
  <c r="H41" i="3"/>
  <c r="F41" i="3"/>
  <c r="X39" i="3"/>
  <c r="P39" i="3"/>
  <c r="U39" i="3" s="1"/>
  <c r="O39" i="3"/>
  <c r="M39" i="3"/>
  <c r="L39" i="3"/>
  <c r="K39" i="3"/>
  <c r="Q39" i="3" s="1"/>
  <c r="V39" i="3" s="1"/>
  <c r="J39" i="3"/>
  <c r="I39" i="3"/>
  <c r="H39" i="3"/>
  <c r="N39" i="3" s="1"/>
  <c r="T39" i="3" s="1"/>
  <c r="F39" i="3"/>
  <c r="R38" i="3"/>
  <c r="W38" i="3" s="1"/>
  <c r="Q38" i="3"/>
  <c r="V38" i="3" s="1"/>
  <c r="P38" i="3"/>
  <c r="U38" i="3" s="1"/>
  <c r="M38" i="3"/>
  <c r="S38" i="3" s="1"/>
  <c r="X38" i="3" s="1"/>
  <c r="L38" i="3"/>
  <c r="K38" i="3"/>
  <c r="J38" i="3"/>
  <c r="I38" i="3"/>
  <c r="O38" i="3" s="1"/>
  <c r="H38" i="3"/>
  <c r="N38" i="3" s="1"/>
  <c r="T38" i="3" s="1"/>
  <c r="F38" i="3"/>
  <c r="S37" i="3"/>
  <c r="X37" i="3" s="1"/>
  <c r="R37" i="3"/>
  <c r="W37" i="3" s="1"/>
  <c r="Q37" i="3"/>
  <c r="V37" i="3" s="1"/>
  <c r="P37" i="3"/>
  <c r="U37" i="3" s="1"/>
  <c r="M37" i="3"/>
  <c r="L37" i="3"/>
  <c r="K37" i="3"/>
  <c r="J37" i="3"/>
  <c r="I37" i="3"/>
  <c r="O37" i="3" s="1"/>
  <c r="H37" i="3"/>
  <c r="N37" i="3" s="1"/>
  <c r="T37" i="3" s="1"/>
  <c r="F37" i="3"/>
  <c r="R36" i="3"/>
  <c r="W36" i="3" s="1"/>
  <c r="Q36" i="3"/>
  <c r="V36" i="3" s="1"/>
  <c r="N36" i="3"/>
  <c r="T36" i="3" s="1"/>
  <c r="M36" i="3"/>
  <c r="S36" i="3" s="1"/>
  <c r="X36" i="3" s="1"/>
  <c r="L36" i="3"/>
  <c r="K36" i="3"/>
  <c r="J36" i="3"/>
  <c r="P36" i="3" s="1"/>
  <c r="U36" i="3" s="1"/>
  <c r="I36" i="3"/>
  <c r="O36" i="3" s="1"/>
  <c r="H36" i="3"/>
  <c r="F36" i="3"/>
  <c r="P35" i="3"/>
  <c r="U35" i="3" s="1"/>
  <c r="O35" i="3"/>
  <c r="N35" i="3"/>
  <c r="T35" i="3" s="1"/>
  <c r="M35" i="3"/>
  <c r="S35" i="3" s="1"/>
  <c r="X35" i="3" s="1"/>
  <c r="L35" i="3"/>
  <c r="R35" i="3" s="1"/>
  <c r="W35" i="3" s="1"/>
  <c r="K35" i="3"/>
  <c r="Q35" i="3" s="1"/>
  <c r="V35" i="3" s="1"/>
  <c r="J35" i="3"/>
  <c r="I35" i="3"/>
  <c r="H35" i="3"/>
  <c r="F35" i="3"/>
  <c r="W34" i="3"/>
  <c r="R34" i="3"/>
  <c r="Q34" i="3"/>
  <c r="V34" i="3" s="1"/>
  <c r="P34" i="3"/>
  <c r="U34" i="3" s="1"/>
  <c r="O34" i="3"/>
  <c r="N34" i="3"/>
  <c r="T34" i="3" s="1"/>
  <c r="M34" i="3"/>
  <c r="S34" i="3" s="1"/>
  <c r="X34" i="3" s="1"/>
  <c r="L34" i="3"/>
  <c r="K34" i="3"/>
  <c r="J34" i="3"/>
  <c r="I34" i="3"/>
  <c r="H34" i="3"/>
  <c r="F34" i="3"/>
  <c r="X33" i="3"/>
  <c r="S33" i="3"/>
  <c r="Q33" i="3"/>
  <c r="V33" i="3" s="1"/>
  <c r="P33" i="3"/>
  <c r="U33" i="3" s="1"/>
  <c r="O33" i="3"/>
  <c r="M33" i="3"/>
  <c r="L33" i="3"/>
  <c r="R33" i="3" s="1"/>
  <c r="W33" i="3" s="1"/>
  <c r="K33" i="3"/>
  <c r="J33" i="3"/>
  <c r="I33" i="3"/>
  <c r="H33" i="3"/>
  <c r="N33" i="3" s="1"/>
  <c r="T33" i="3" s="1"/>
  <c r="F33" i="3"/>
  <c r="T32" i="3"/>
  <c r="N32" i="3"/>
  <c r="M32" i="3"/>
  <c r="S32" i="3" s="1"/>
  <c r="X32" i="3" s="1"/>
  <c r="L32" i="3"/>
  <c r="R32" i="3" s="1"/>
  <c r="W32" i="3" s="1"/>
  <c r="K32" i="3"/>
  <c r="Q32" i="3" s="1"/>
  <c r="V32" i="3" s="1"/>
  <c r="J32" i="3"/>
  <c r="P32" i="3" s="1"/>
  <c r="U32" i="3" s="1"/>
  <c r="I32" i="3"/>
  <c r="O32" i="3" s="1"/>
  <c r="H32" i="3"/>
  <c r="F32" i="3"/>
  <c r="U30" i="3"/>
  <c r="T30" i="3"/>
  <c r="P30" i="3"/>
  <c r="O30" i="3"/>
  <c r="N30" i="3"/>
  <c r="M30" i="3"/>
  <c r="S30" i="3" s="1"/>
  <c r="X30" i="3" s="1"/>
  <c r="L30" i="3"/>
  <c r="R30" i="3" s="1"/>
  <c r="W30" i="3" s="1"/>
  <c r="K30" i="3"/>
  <c r="Q30" i="3" s="1"/>
  <c r="V30" i="3" s="1"/>
  <c r="J30" i="3"/>
  <c r="I30" i="3"/>
  <c r="H30" i="3"/>
  <c r="F30" i="3"/>
  <c r="V29" i="3"/>
  <c r="R29" i="3"/>
  <c r="W29" i="3" s="1"/>
  <c r="Q29" i="3"/>
  <c r="O29" i="3"/>
  <c r="N29" i="3"/>
  <c r="T29" i="3" s="1"/>
  <c r="M29" i="3"/>
  <c r="S29" i="3" s="1"/>
  <c r="X29" i="3" s="1"/>
  <c r="L29" i="3"/>
  <c r="K29" i="3"/>
  <c r="J29" i="3"/>
  <c r="P29" i="3" s="1"/>
  <c r="U29" i="3" s="1"/>
  <c r="I29" i="3"/>
  <c r="H29" i="3"/>
  <c r="F29" i="3"/>
  <c r="M27" i="3"/>
  <c r="S27" i="3" s="1"/>
  <c r="X27" i="3" s="1"/>
  <c r="L27" i="3"/>
  <c r="R27" i="3" s="1"/>
  <c r="W27" i="3" s="1"/>
  <c r="K27" i="3"/>
  <c r="Q27" i="3" s="1"/>
  <c r="V27" i="3" s="1"/>
  <c r="J27" i="3"/>
  <c r="P27" i="3" s="1"/>
  <c r="U27" i="3" s="1"/>
  <c r="I27" i="3"/>
  <c r="O27" i="3" s="1"/>
  <c r="H27" i="3"/>
  <c r="N27" i="3" s="1"/>
  <c r="F27" i="3"/>
  <c r="S26" i="3"/>
  <c r="X26" i="3" s="1"/>
  <c r="R26" i="3"/>
  <c r="W26" i="3" s="1"/>
  <c r="Q26" i="3"/>
  <c r="V26" i="3" s="1"/>
  <c r="N26" i="3"/>
  <c r="M26" i="3"/>
  <c r="L26" i="3"/>
  <c r="K26" i="3"/>
  <c r="J26" i="3"/>
  <c r="P26" i="3" s="1"/>
  <c r="U26" i="3" s="1"/>
  <c r="I26" i="3"/>
  <c r="O26" i="3" s="1"/>
  <c r="T26" i="3" s="1"/>
  <c r="H26" i="3"/>
  <c r="F26" i="3"/>
  <c r="S25" i="3"/>
  <c r="X25" i="3" s="1"/>
  <c r="P25" i="3"/>
  <c r="U25" i="3" s="1"/>
  <c r="O25" i="3"/>
  <c r="M25" i="3"/>
  <c r="L25" i="3"/>
  <c r="R25" i="3" s="1"/>
  <c r="W25" i="3" s="1"/>
  <c r="K25" i="3"/>
  <c r="Q25" i="3" s="1"/>
  <c r="V25" i="3" s="1"/>
  <c r="J25" i="3"/>
  <c r="I25" i="3"/>
  <c r="H25" i="3"/>
  <c r="N25" i="3" s="1"/>
  <c r="T25" i="3" s="1"/>
  <c r="F25" i="3"/>
  <c r="S24" i="3"/>
  <c r="X24" i="3" s="1"/>
  <c r="R24" i="3"/>
  <c r="W24" i="3" s="1"/>
  <c r="Q24" i="3"/>
  <c r="V24" i="3" s="1"/>
  <c r="P24" i="3"/>
  <c r="U24" i="3" s="1"/>
  <c r="M24" i="3"/>
  <c r="L24" i="3"/>
  <c r="K24" i="3"/>
  <c r="J24" i="3"/>
  <c r="I24" i="3"/>
  <c r="O24" i="3" s="1"/>
  <c r="H24" i="3"/>
  <c r="N24" i="3" s="1"/>
  <c r="T24" i="3" s="1"/>
  <c r="F24" i="3"/>
  <c r="S23" i="3"/>
  <c r="X23" i="3" s="1"/>
  <c r="R23" i="3"/>
  <c r="W23" i="3" s="1"/>
  <c r="Q23" i="3"/>
  <c r="V23" i="3" s="1"/>
  <c r="M23" i="3"/>
  <c r="L23" i="3"/>
  <c r="K23" i="3"/>
  <c r="J23" i="3"/>
  <c r="P23" i="3" s="1"/>
  <c r="U23" i="3" s="1"/>
  <c r="I23" i="3"/>
  <c r="O23" i="3" s="1"/>
  <c r="H23" i="3"/>
  <c r="N23" i="3" s="1"/>
  <c r="T23" i="3" s="1"/>
  <c r="F23" i="3"/>
  <c r="S22" i="3"/>
  <c r="X22" i="3" s="1"/>
  <c r="R22" i="3"/>
  <c r="W22" i="3" s="1"/>
  <c r="Q22" i="3"/>
  <c r="V22" i="3" s="1"/>
  <c r="N22" i="3"/>
  <c r="M22" i="3"/>
  <c r="L22" i="3"/>
  <c r="K22" i="3"/>
  <c r="J22" i="3"/>
  <c r="P22" i="3" s="1"/>
  <c r="U22" i="3" s="1"/>
  <c r="I22" i="3"/>
  <c r="O22" i="3" s="1"/>
  <c r="T22" i="3" s="1"/>
  <c r="H22" i="3"/>
  <c r="F22" i="3"/>
  <c r="U21" i="3"/>
  <c r="S21" i="3"/>
  <c r="X21" i="3" s="1"/>
  <c r="Q21" i="3"/>
  <c r="V21" i="3" s="1"/>
  <c r="P21" i="3"/>
  <c r="N21" i="3"/>
  <c r="M21" i="3"/>
  <c r="L21" i="3"/>
  <c r="R21" i="3" s="1"/>
  <c r="W21" i="3" s="1"/>
  <c r="K21" i="3"/>
  <c r="J21" i="3"/>
  <c r="I21" i="3"/>
  <c r="O21" i="3" s="1"/>
  <c r="T21" i="3" s="1"/>
  <c r="H21" i="3"/>
  <c r="F21" i="3"/>
  <c r="S20" i="3"/>
  <c r="X20" i="3" s="1"/>
  <c r="R20" i="3"/>
  <c r="W20" i="3" s="1"/>
  <c r="O20" i="3"/>
  <c r="N20" i="3"/>
  <c r="T20" i="3" s="1"/>
  <c r="M20" i="3"/>
  <c r="L20" i="3"/>
  <c r="K20" i="3"/>
  <c r="Q20" i="3" s="1"/>
  <c r="V20" i="3" s="1"/>
  <c r="J20" i="3"/>
  <c r="P20" i="3" s="1"/>
  <c r="U20" i="3" s="1"/>
  <c r="I20" i="3"/>
  <c r="H20" i="3"/>
  <c r="F20" i="3"/>
  <c r="T17" i="3"/>
  <c r="S17" i="3"/>
  <c r="X17" i="3" s="1"/>
  <c r="O17" i="3"/>
  <c r="M17" i="3"/>
  <c r="L17" i="3"/>
  <c r="R17" i="3" s="1"/>
  <c r="W17" i="3" s="1"/>
  <c r="K17" i="3"/>
  <c r="Q17" i="3" s="1"/>
  <c r="V17" i="3" s="1"/>
  <c r="J17" i="3"/>
  <c r="P17" i="3" s="1"/>
  <c r="U17" i="3" s="1"/>
  <c r="I17" i="3"/>
  <c r="H17" i="3"/>
  <c r="N17" i="3" s="1"/>
  <c r="F17" i="3"/>
  <c r="T16" i="3"/>
  <c r="S16" i="3"/>
  <c r="X16" i="3" s="1"/>
  <c r="O16" i="3"/>
  <c r="N16" i="3"/>
  <c r="M16" i="3"/>
  <c r="L16" i="3"/>
  <c r="R16" i="3" s="1"/>
  <c r="W16" i="3" s="1"/>
  <c r="K16" i="3"/>
  <c r="Q16" i="3" s="1"/>
  <c r="V16" i="3" s="1"/>
  <c r="J16" i="3"/>
  <c r="P16" i="3" s="1"/>
  <c r="U16" i="3" s="1"/>
  <c r="I16" i="3"/>
  <c r="H16" i="3"/>
  <c r="F16" i="3"/>
  <c r="T15" i="3"/>
  <c r="U15" i="3"/>
  <c r="O15" i="3"/>
  <c r="N15" i="3"/>
  <c r="M15" i="3"/>
  <c r="S15" i="3" s="1"/>
  <c r="X15" i="3" s="1"/>
  <c r="L15" i="3"/>
  <c r="R15" i="3" s="1"/>
  <c r="W15" i="3" s="1"/>
  <c r="K15" i="3"/>
  <c r="Q15" i="3" s="1"/>
  <c r="V15" i="3" s="1"/>
  <c r="J15" i="3"/>
  <c r="I15" i="3"/>
  <c r="H15" i="3"/>
  <c r="F15" i="3"/>
  <c r="W14" i="3"/>
  <c r="V14" i="3"/>
  <c r="U14" i="3"/>
  <c r="R14" i="3"/>
  <c r="Q14" i="3"/>
  <c r="P14" i="3"/>
  <c r="O14" i="3"/>
  <c r="N14" i="3"/>
  <c r="T14" i="3" s="1"/>
  <c r="M14" i="3"/>
  <c r="S14" i="3" s="1"/>
  <c r="X14" i="3" s="1"/>
  <c r="L14" i="3"/>
  <c r="K14" i="3"/>
  <c r="J14" i="3"/>
  <c r="I14" i="3"/>
  <c r="H14" i="3"/>
  <c r="F14" i="3"/>
  <c r="U13" i="3"/>
  <c r="Q13" i="3"/>
  <c r="V13" i="3" s="1"/>
  <c r="P13" i="3"/>
  <c r="O13" i="3"/>
  <c r="M13" i="3"/>
  <c r="S13" i="3" s="1"/>
  <c r="X13" i="3" s="1"/>
  <c r="L13" i="3"/>
  <c r="R13" i="3" s="1"/>
  <c r="W13" i="3" s="1"/>
  <c r="K13" i="3"/>
  <c r="J13" i="3"/>
  <c r="I13" i="3"/>
  <c r="H13" i="3"/>
  <c r="N13" i="3" s="1"/>
  <c r="T13" i="3" s="1"/>
  <c r="F13" i="3"/>
  <c r="V12" i="3"/>
  <c r="Q12" i="3"/>
  <c r="O12" i="3"/>
  <c r="N12" i="3"/>
  <c r="T12" i="3" s="1"/>
  <c r="M12" i="3"/>
  <c r="S12" i="3" s="1"/>
  <c r="X12" i="3" s="1"/>
  <c r="L12" i="3"/>
  <c r="R12" i="3" s="1"/>
  <c r="W12" i="3" s="1"/>
  <c r="K12" i="3"/>
  <c r="J12" i="3"/>
  <c r="I12" i="3"/>
  <c r="H12" i="3"/>
  <c r="F12" i="3"/>
  <c r="T44" i="3" l="1"/>
  <c r="T43" i="3"/>
  <c r="T27" i="3"/>
  <c r="AB17" i="2"/>
  <c r="J17" i="2" s="1"/>
  <c r="E13" i="2"/>
  <c r="X19" i="2"/>
  <c r="AC19" i="2" s="1"/>
  <c r="K19" i="2" s="1"/>
  <c r="X20" i="2"/>
  <c r="AC20" i="2" s="1"/>
  <c r="K20" i="2" s="1"/>
  <c r="X15" i="2"/>
  <c r="X18" i="2"/>
  <c r="AC18" i="2" s="1"/>
  <c r="K18" i="2" s="1"/>
  <c r="X17" i="2"/>
  <c r="X14" i="2"/>
  <c r="L48" i="3" s="1"/>
  <c r="X16" i="2"/>
  <c r="L50" i="3" s="1"/>
  <c r="AB14" i="2"/>
  <c r="J14" i="2" s="1"/>
  <c r="AB15" i="2"/>
  <c r="J15" i="2" s="1"/>
  <c r="AB16" i="2"/>
  <c r="J16" i="2" s="1"/>
  <c r="AB18" i="2"/>
  <c r="J18" i="2" s="1"/>
  <c r="AB19" i="2"/>
  <c r="J19" i="2" s="1"/>
  <c r="AB20" i="2"/>
  <c r="J20" i="2" s="1"/>
  <c r="T45" i="3"/>
  <c r="P12" i="3"/>
  <c r="U12" i="3" s="1"/>
  <c r="T50" i="3"/>
  <c r="G9" i="2"/>
  <c r="Y20" i="2" l="1"/>
  <c r="AD20" i="2" s="1"/>
  <c r="W13" i="2"/>
  <c r="Y19" i="2"/>
  <c r="AD19" i="2" s="1"/>
  <c r="AC17" i="2"/>
  <c r="K17" i="2" s="1"/>
  <c r="L51" i="3"/>
  <c r="AC15" i="2"/>
  <c r="K15" i="2" s="1"/>
  <c r="L49" i="3"/>
  <c r="AC14" i="2"/>
  <c r="K14" i="2" s="1"/>
  <c r="Y15" i="2"/>
  <c r="AD15" i="2" s="1"/>
  <c r="L15" i="2" s="1"/>
  <c r="Y17" i="2"/>
  <c r="AD17" i="2" s="1"/>
  <c r="Y18" i="2"/>
  <c r="AD18" i="2" s="1"/>
  <c r="Y14" i="2"/>
  <c r="AD14" i="2" s="1"/>
  <c r="AC16" i="2"/>
  <c r="K16" i="2" s="1"/>
  <c r="AD16" i="2"/>
  <c r="Z20" i="2" l="1"/>
  <c r="AE20" i="2" s="1"/>
  <c r="L20" i="2"/>
  <c r="N42" i="2"/>
  <c r="K42" i="2"/>
  <c r="M42" i="2"/>
  <c r="L42" i="2"/>
  <c r="AB13" i="2"/>
  <c r="J13" i="2" s="1"/>
  <c r="X13" i="2"/>
  <c r="Z18" i="2"/>
  <c r="AE18" i="2" s="1"/>
  <c r="Z16" i="2"/>
  <c r="AA16" i="2" s="1"/>
  <c r="Z19" i="2"/>
  <c r="AE19" i="2" s="1"/>
  <c r="L19" i="2"/>
  <c r="L17" i="2"/>
  <c r="L18" i="2"/>
  <c r="L14" i="2"/>
  <c r="L16" i="2"/>
  <c r="M20" i="2" l="1"/>
  <c r="AA20" i="2"/>
  <c r="AF20" i="2" s="1"/>
  <c r="N20" i="2" s="1"/>
  <c r="Y13" i="2"/>
  <c r="AD13" i="2" s="1"/>
  <c r="L13" i="2" s="1"/>
  <c r="K43" i="2"/>
  <c r="K44" i="2" s="1"/>
  <c r="AC13" i="2"/>
  <c r="K13" i="2" s="1"/>
  <c r="AA19" i="2"/>
  <c r="AF19" i="2" s="1"/>
  <c r="N19" i="2" s="1"/>
  <c r="M19" i="2"/>
  <c r="M18" i="2"/>
  <c r="AA18" i="2"/>
  <c r="AF18" i="2" s="1"/>
  <c r="N18" i="2" s="1"/>
  <c r="AE16" i="2"/>
  <c r="AF16" i="2" s="1"/>
  <c r="N16" i="2" s="1"/>
  <c r="Z13" i="2" l="1"/>
  <c r="AE13" i="2" s="1"/>
  <c r="M13" i="2" s="1"/>
  <c r="L43" i="2"/>
  <c r="L44" i="2" s="1"/>
  <c r="K45" i="2"/>
  <c r="K46" i="2" s="1"/>
  <c r="M16" i="2"/>
  <c r="R51" i="3"/>
  <c r="W51" i="3" s="1"/>
  <c r="Z17" i="2" s="1"/>
  <c r="L45" i="2" l="1"/>
  <c r="L46" i="2" s="1"/>
  <c r="AA13" i="2"/>
  <c r="AF13" i="2" s="1"/>
  <c r="N13" i="2" s="1"/>
  <c r="AA17" i="2"/>
  <c r="AE17" i="2"/>
  <c r="R48" i="3"/>
  <c r="W48" i="3" s="1"/>
  <c r="Z14" i="2" s="1"/>
  <c r="R49" i="3"/>
  <c r="W49" i="3" s="1"/>
  <c r="Z15" i="2" s="1"/>
  <c r="R50" i="3"/>
  <c r="W50" i="3" s="1"/>
  <c r="M17" i="2" l="1"/>
  <c r="AF17" i="2"/>
  <c r="N17" i="2" s="1"/>
  <c r="AE15" i="2"/>
  <c r="M15" i="2" s="1"/>
  <c r="AA15" i="2"/>
  <c r="AF15" i="2" s="1"/>
  <c r="N15" i="2" s="1"/>
  <c r="AE14" i="2"/>
  <c r="AA14" i="2"/>
  <c r="M43" i="2"/>
  <c r="M44" i="2" s="1"/>
  <c r="N43" i="2" l="1"/>
  <c r="N44" i="2" s="1"/>
  <c r="N45" i="2" s="1"/>
  <c r="N46" i="2" s="1"/>
  <c r="M45" i="2"/>
  <c r="M46" i="2" s="1"/>
  <c r="M14" i="2"/>
  <c r="AF14" i="2"/>
  <c r="N1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<sst xmlns="http://schemas.openxmlformats.org/spreadsheetml/2006/main" count="197" uniqueCount="78">
  <si>
    <t>Remboursement par niveau de contrat</t>
  </si>
  <si>
    <t>Soins courants</t>
  </si>
  <si>
    <t>Régime CAMIEG</t>
  </si>
  <si>
    <t>Contrat CSM</t>
  </si>
  <si>
    <t>SELECT</t>
  </si>
  <si>
    <t>MEDIUM</t>
  </si>
  <si>
    <t>PREMIUM</t>
  </si>
  <si>
    <t>Rbts. Mutuelle</t>
  </si>
  <si>
    <t>Reste à charge</t>
  </si>
  <si>
    <t>Total</t>
  </si>
  <si>
    <t>Votre taux de couverture</t>
  </si>
  <si>
    <t>SIMULATEUR DE REMBOURSEMENT DE VOS FRAIS DE SANTÉ</t>
  </si>
  <si>
    <t>les montants simulés  sont déterminés sur la base des conditions tarifaires de votre contrat et des options choisies</t>
  </si>
  <si>
    <t>DÉPENSE TOTALE</t>
  </si>
  <si>
    <t>Modifiez uniquement les cellules vertes</t>
  </si>
  <si>
    <r>
      <rPr>
        <b/>
        <sz val="18"/>
        <color rgb="FFE21B4B"/>
        <rFont val="var(--msl-fontFamily-heading)"/>
      </rPr>
      <t xml:space="preserve">1- </t>
    </r>
    <r>
      <rPr>
        <b/>
        <sz val="14"/>
        <color rgb="FF0956B2"/>
        <rFont val="var(--msl-fontFamily-heading)"/>
      </rPr>
      <t xml:space="preserve">Choisissez dans le menu déroulant la catégorie de soins que vous voulez évaluer </t>
    </r>
  </si>
  <si>
    <r>
      <rPr>
        <b/>
        <sz val="18"/>
        <color rgb="FFE21B4B"/>
        <rFont val="var(--msl-fontFamily-heading)"/>
      </rPr>
      <t xml:space="preserve">2- </t>
    </r>
    <r>
      <rPr>
        <b/>
        <sz val="14"/>
        <color rgb="FF0956B2"/>
        <rFont val="var(--msl-fontFamily-heading)"/>
      </rPr>
      <t xml:space="preserve">Choisissez dans le menu déroulant la catégorie de soins que vous voulez évaluer </t>
    </r>
  </si>
  <si>
    <r>
      <t xml:space="preserve">Saisir le montant 
de dépense en €
</t>
    </r>
    <r>
      <rPr>
        <b/>
        <sz val="12"/>
        <color rgb="FFF8C8D3"/>
        <rFont val="var(--msl-fontFamily-heading)"/>
      </rPr>
      <t>(au moins une valeur)</t>
    </r>
  </si>
  <si>
    <t>PMSS</t>
  </si>
  <si>
    <t>Les garanties CSM du présent contrat interviennent en complément des garanties prévues par le Régime spécial 
d’assurance maladie des IEG géré par la CAMIEG (prestations du régime obligatoire et complémentaire)</t>
  </si>
  <si>
    <t>Les garanties du présent contrat surcomplémentaire interviennent en complément des garanties prévues par le 
contrat collectif obligatoire n° A9810012086.</t>
  </si>
  <si>
    <t>Assiette</t>
  </si>
  <si>
    <t>Depense</t>
  </si>
  <si>
    <t>BR</t>
  </si>
  <si>
    <t>Régime de base</t>
  </si>
  <si>
    <t>Part complt.</t>
  </si>
  <si>
    <t>Hospitalisaton</t>
  </si>
  <si>
    <t>Forfait hospitalier journalier</t>
  </si>
  <si>
    <t>FR</t>
  </si>
  <si>
    <t>Honoraire chirurgien signataire DPTAM (Reconstruction du ligament croisé antérieur du genou Code CCAM NFMC003 BR* 453,95 €)</t>
  </si>
  <si>
    <t>Honoraire chirurgien non signataire DPTAM (Reconstruction du ligament croisé antérieur du genou Code CCAM NFMC003 BR* 453,95 €)</t>
  </si>
  <si>
    <t>Chambre particulière
(montant pour une nuit)</t>
  </si>
  <si>
    <t>Chambre particulière en ambulatoire
(entrée et sortie le même jour)</t>
  </si>
  <si>
    <t>Frais d'accompagnement - enfant -16 ans
(montant pour un jour)</t>
  </si>
  <si>
    <t>Consultation, Visite du médecin traitant généraliste signataire DPTAM ou secteur 1 (BR 30€)</t>
  </si>
  <si>
    <t>Consultation, Visite du médecin traitant généraliste non signataire DPTAM (secteur 2) (BR 23€)</t>
  </si>
  <si>
    <t>Téléconsultation généraliste signataire DPTAM (BR 25€)</t>
  </si>
  <si>
    <t>Téléconsultation généraliste non signataire DPTAM (BR 23€)</t>
  </si>
  <si>
    <t>Consultation spécialiste (sauf pédiatre, psychiatre, neurologue, gériatre, gynécologue médical, spécialiste de médecine physique et de réadaptation) signataire DPTAM (BR 31,50€)</t>
  </si>
  <si>
    <t>Consultation médecin spécialiste non signataire DPTAM (BR 23€)</t>
  </si>
  <si>
    <t>Consultation cardiologue signataire DPTAM (BR 52.5€)</t>
  </si>
  <si>
    <t>Audio</t>
  </si>
  <si>
    <t>Aide auditive classe I - personne de moins de 20 ans (BR 1400€)</t>
  </si>
  <si>
    <t>Aide auditive classe II - personne de plus de 20 ans (BR 400€)</t>
  </si>
  <si>
    <t>Dentaire hors 100% SANTE (yc Ss)</t>
  </si>
  <si>
    <t>Soins dentaire : détartrage</t>
  </si>
  <si>
    <t>Inlay Onlay (BR 100€)</t>
  </si>
  <si>
    <t>Pose d’une couronne dentaire céramique monolithique (zircone) sur une molaire (BR 120€)</t>
  </si>
  <si>
    <t>Implantologie : maximum 5 par année civile et par bénéficiaires</t>
  </si>
  <si>
    <t>Prothèses dentaires non remboursées par la Sécurité sociale (hors – implantologie) (BR reconstituée 120€)</t>
  </si>
  <si>
    <t>Orthodontie remboursée par la Sécurité sociale (BR 193.5€ pour un semestre)</t>
  </si>
  <si>
    <t>Orthodontie non remboursée par la Sécurité sociale (BR 193.5€ pour un semestre)</t>
  </si>
  <si>
    <t>Parodontologie non remboursée par la Sécurité sociale</t>
  </si>
  <si>
    <t>Optique hors 100% SANTE (yc Ss)</t>
  </si>
  <si>
    <t xml:space="preserve"> Monture hors 100% SANTE</t>
  </si>
  <si>
    <t>Euro</t>
  </si>
  <si>
    <r>
      <t xml:space="preserve">Pour 2 verres simples hors 100% SANTE et hors réseau
</t>
    </r>
    <r>
      <rPr>
        <i/>
        <sz val="8"/>
        <color rgb="FF0D7D68"/>
        <rFont val="Helvetica Now Text"/>
        <family val="2"/>
      </rPr>
      <t>sphère entre 0 et 2, cylindre entre 0.25 et 4</t>
    </r>
  </si>
  <si>
    <t>Pour 2 verres complexes hors 100% SANTE et hors réseau
sphère entre 2.25 et 4, cylindre entre 0.25 et 4</t>
  </si>
  <si>
    <t>Chirurgie de l’œil (myopie, hypermétropie, astigmatisme et presbytie) y compris chirurgie intraoculaire</t>
  </si>
  <si>
    <t>Lentilles adultes non remboursées par la Sécurité Sociale</t>
  </si>
  <si>
    <t>Médecine douce</t>
  </si>
  <si>
    <r>
      <t xml:space="preserve">Consultations de psychologues
</t>
    </r>
    <r>
      <rPr>
        <i/>
        <sz val="8"/>
        <color rgb="FF0D7D68"/>
        <rFont val="Helvetica Now Text"/>
        <family val="2"/>
      </rPr>
      <t>montant pour une consultation</t>
    </r>
  </si>
  <si>
    <r>
      <t xml:space="preserve">Ostéopathe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</si>
  <si>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Acupuncteur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</si>
  <si>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Etiopathe
</t>
    </r>
    <r>
      <rPr>
        <i/>
        <sz val="8"/>
        <color rgb="FF0D7D68"/>
        <rFont val="Helvetica Now Text"/>
        <family val="2"/>
      </rPr>
      <t>montant pour une séance</t>
    </r>
  </si>
  <si>
    <r>
      <t xml:space="preserve">Chiropracteur
</t>
    </r>
    <r>
      <rPr>
        <i/>
        <sz val="8"/>
        <color rgb="FF0D7D68"/>
        <rFont val="Helvetica Now Text"/>
        <family val="2"/>
      </rPr>
      <t>montant pour une séance</t>
    </r>
  </si>
  <si>
    <t>Autres soins</t>
  </si>
  <si>
    <t>Bilan de langage oral ou écrit avant 14 ans par orthophoniste
Bracelet GSM sur prescription médicale pour Alzheimer
Test Hémoccult, tensiomètre prescrits par un médecin</t>
  </si>
  <si>
    <t>Psychomotricien, diététicien, ergothérapeute, podologue, amniocentèse ; Dépistage des troubles de l’audition par orthophoniste</t>
  </si>
  <si>
    <t>Prothèse capillaire totale classe 1 prix max de vente : 350€ (BR 350€)</t>
  </si>
  <si>
    <t>Prothèse capillaire totale classe 2 prix de vente max : 700€ (BR 250€)</t>
  </si>
  <si>
    <t>Garanties contractuelles</t>
  </si>
  <si>
    <t>Ne pas modifier</t>
  </si>
  <si>
    <t>Grille contractuelle</t>
  </si>
  <si>
    <t>Remboursement mutuelle</t>
  </si>
  <si>
    <t>Consultation neuropsy avis ponctuel</t>
  </si>
  <si>
    <t>A mettre à jour</t>
  </si>
  <si>
    <t>Le simulateur de garanties qui vous est proposé n’a aucune valeur contractuelle. Il vise à fournir une estimation indicative, à une date donnée, des remboursements du contrat d’assurance frais de santé auxquels peuvent prétendre ses bénéficiaires, dans le respect du parcours de soins coordonnées. Il ne doit plus être utilisé à compter du 31/12/2026. D’ici le 01/01/2027, un nouveau simulateur sera mis à disposition sur la plateforme.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</si>
</sst>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164" formatCode="#,##0\ &quot;€&quot;"/>
    <numFmt numFmtId="165" formatCode="_-* #,##0.00\ [$€-40C]_-;\-* #,##0.00\ [$€-40C]_-;_-* &quot;-&quot;??\ [$€-40C]_-;_-@_-"/>
    <numFmt numFmtId="166" formatCode="0.0%"/>
  </numFmts>
  <fonts count="3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Helvetica Now Text"/>
      <family val="2"/>
    </font>
    <font>
      <b/>
      <sz val="11"/>
      <color theme="0"/>
      <name val="Helvetica Now Text"/>
      <family val="2"/>
    </font>
    <font>
      <b/>
      <i/>
      <sz val="20"/>
      <color theme="1"/>
      <name val="Helvetica Now Text"/>
      <family val="2"/>
    </font>
    <font>
      <i/>
      <sz val="11"/>
      <color theme="1"/>
      <name val="Helvetica Now Text"/>
      <family val="2"/>
    </font>
    <font>
      <b/>
      <i/>
      <sz val="20"/>
      <color rgb="FF49CFE7"/>
      <name val="Helvetica Now Text"/>
      <family val="2"/>
    </font>
    <font>
      <sz val="10"/>
      <color theme="1"/>
      <name val="Helvetica Now Text"/>
      <family val="2"/>
    </font>
    <font>
      <b/>
      <sz val="26"/>
      <color theme="0"/>
      <name val="Arial Black"/>
      <family val="2"/>
      <scheme val="major"/>
    </font>
    <font>
      <b/>
      <sz val="16"/>
      <color theme="0"/>
      <name val="var(--msl-fontFamily-heading)"/>
    </font>
    <font>
      <i/>
      <sz val="14"/>
      <color theme="0"/>
      <name val="var(--msl-fontFamily-heading)"/>
    </font>
    <font>
      <sz val="14"/>
      <color theme="1"/>
      <name val="var(--msl-fontFamily-heading)"/>
    </font>
    <font>
      <b/>
      <sz val="14"/>
      <name val="var(--msl-fontFamily-heading)"/>
    </font>
    <font>
      <b/>
      <sz val="20"/>
      <color theme="0"/>
      <name val="var(--msl-fontFamily-heading)"/>
    </font>
    <font>
      <b/>
      <sz val="18"/>
      <color theme="0"/>
      <name val="Arial Black"/>
      <family val="2"/>
      <scheme val="major"/>
    </font>
    <font>
      <b/>
      <sz val="18"/>
      <color theme="0"/>
      <name val="var(--msl-fontFamily-heading)"/>
    </font>
    <font>
      <i/>
      <sz val="20"/>
      <color theme="1"/>
      <name val="Helvetica Now Text"/>
      <family val="2"/>
    </font>
    <font>
      <b/>
      <sz val="14"/>
      <color rgb="FF0956B2"/>
      <name val="var(--msl-fontFamily-heading)"/>
    </font>
    <font>
      <b/>
      <sz val="18"/>
      <color rgb="FFE21B4B"/>
      <name val="var(--msl-fontFamily-heading)"/>
    </font>
    <font>
      <b/>
      <sz val="12"/>
      <color theme="0"/>
      <name val="var(--msl-fontFamily-heading)"/>
    </font>
    <font>
      <b/>
      <sz val="11"/>
      <color theme="8" tint="-0.499984740745262"/>
      <name val="var(--msl-fontFamily-heading)"/>
    </font>
    <font>
      <b/>
      <sz val="12"/>
      <color rgb="FFF8C8D3"/>
      <name val="var(--msl-fontFamily-heading)"/>
    </font>
    <font>
      <sz val="11"/>
      <color rgb="FFC00000"/>
      <name val="var(--msl-fontFamily-heading)"/>
    </font>
    <font>
      <b/>
      <sz val="16"/>
      <color rgb="FF0956B2"/>
      <name val="var(--msl-fontFamily-heading)"/>
    </font>
    <font>
      <b/>
      <sz val="12"/>
      <color rgb="FF0956B2"/>
      <name val="var(--msl-fontFamily-heading)"/>
    </font>
    <font>
      <b/>
      <sz val="14"/>
      <color theme="2" tint="-0.499984740745262"/>
      <name val="var(--msl-fontFamily-heading)"/>
    </font>
    <font>
      <sz val="8"/>
      <color theme="1"/>
      <name val="Helvetica Now Text"/>
      <family val="2"/>
    </font>
    <font>
      <b/>
      <sz val="8"/>
      <color theme="1"/>
      <name val="Helvetica Now Text"/>
      <family val="2"/>
    </font>
    <font>
      <b/>
      <sz val="8"/>
      <color theme="0"/>
      <name val="Helvetica Now Text"/>
      <family val="2"/>
    </font>
    <font>
      <sz val="8"/>
      <color rgb="FF0D7D68"/>
      <name val="Helvetica Now Text"/>
      <family val="2"/>
    </font>
    <font>
      <sz val="8"/>
      <color theme="5"/>
      <name val="Helvetica Now Text"/>
      <family val="2"/>
    </font>
    <font>
      <sz val="8"/>
      <name val="Helvetica Now Text"/>
      <family val="2"/>
    </font>
    <font>
      <i/>
      <sz val="8"/>
      <color rgb="FF0D7D68"/>
      <name val="Helvetica Now Text"/>
      <family val="2"/>
    </font>
    <font>
      <sz val="11"/>
      <color rgb="FF0956B2"/>
      <name val="Helvetica Now Text"/>
      <family val="2"/>
    </font>
    <font>
      <b/>
      <sz val="11"/>
      <color rgb="FF0956B2"/>
      <name val="Helvetica Now Text"/>
      <family val="2"/>
    </font>
    <font>
      <b/>
      <sz val="18"/>
      <color theme="0"/>
      <name val="Helvetica Now Text"/>
      <family val="2"/>
    </font>
  </fonts>
  <fills count="24">
    <fill>
      <patternFill patternType="none"/>
    </fill>
    <fill>
      <patternFill patternType="gray125"/>
    </fill>
    <fill>
      <patternFill patternType="solid">
        <fgColor rgb="FF12A88A"/>
        <bgColor indexed="64"/>
      </patternFill>
    </fill>
    <fill>
      <patternFill patternType="solid">
        <fgColor rgb="FFC7DDD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8" tint="-0.249977111117893"/>
        <bgColor indexed="64"/>
      </patternFill>
    </fill>
    <fill>
      <gradientFill degree="135">
        <stop position="0">
          <color theme="9" tint="-0.25098422193060094"/>
        </stop>
        <stop position="1">
          <color theme="5" tint="-0.49803155613879818"/>
        </stop>
      </gradientFill>
    </fill>
    <fill>
      <gradientFill degree="45">
        <stop position="0">
          <color theme="8" tint="-0.25098422193060094"/>
        </stop>
        <stop position="1">
          <color theme="8" tint="-0.49803155613879818"/>
        </stop>
      </gradientFill>
    </fill>
    <fill>
      <gradientFill degree="45">
        <stop position="0">
          <color theme="9" tint="-0.25098422193060094"/>
        </stop>
        <stop position="1">
          <color theme="8"/>
        </stop>
      </gradientFill>
    </fill>
    <fill>
      <patternFill patternType="solid">
        <fgColor rgb="FF0956B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8F2FE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45">
        <stop position="0">
          <color rgb="FFC4DDFC"/>
        </stop>
        <stop position="1">
          <color rgb="FF98C4FA"/>
        </stop>
      </gradientFill>
    </fill>
    <fill>
      <patternFill patternType="solid">
        <fgColor rgb="FFEEF8F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6EEEE"/>
        <bgColor indexed="64"/>
      </patternFill>
    </fill>
    <fill>
      <patternFill patternType="solid">
        <fgColor rgb="FFC4DDF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medium">
        <color rgb="FFE21B4B"/>
      </left>
      <right style="medium">
        <color rgb="FFE21B4B"/>
      </right>
      <top style="medium">
        <color rgb="FFE21B4B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 style="thin">
        <color theme="0"/>
      </top>
      <bottom style="thin">
        <color theme="0"/>
      </bottom>
      <diagonal/>
    </border>
    <border>
      <left style="medium">
        <color rgb="FFE21B4B"/>
      </left>
      <right style="medium">
        <color rgb="FFE21B4B"/>
      </right>
      <top style="thin">
        <color theme="0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 style="medium">
        <color theme="9" tint="0.39997558519241921"/>
      </top>
      <bottom style="medium">
        <color theme="9" tint="0.39997558519241921"/>
      </bottom>
      <diagonal/>
    </border>
    <border>
      <left style="medium">
        <color rgb="FFE21B4B"/>
      </left>
      <right style="medium">
        <color rgb="FFE21B4B"/>
      </right>
      <top style="medium">
        <color theme="9" tint="0.39997558519241921"/>
      </top>
      <bottom style="medium">
        <color rgb="FFE21B4B"/>
      </bottom>
      <diagonal/>
    </border>
    <border>
      <left style="medium">
        <color rgb="FFE21B4B"/>
      </left>
      <right style="medium">
        <color rgb="FFE21B4B"/>
      </right>
      <top/>
      <bottom style="medium">
        <color theme="9" tint="0.39997558519241921"/>
      </bottom>
      <diagonal/>
    </border>
    <border>
      <left style="medium">
        <color rgb="FFE21B4B"/>
      </left>
      <right style="medium">
        <color rgb="FFE21B4B"/>
      </right>
      <top/>
      <bottom style="thin">
        <color theme="0"/>
      </bottom>
      <diagonal/>
    </border>
    <border>
      <left style="medium">
        <color rgb="FFE21B4B"/>
      </left>
      <right style="medium">
        <color rgb="FFE21B4B"/>
      </right>
      <top style="medium">
        <color rgb="FFE21B4B"/>
      </top>
      <bottom style="thick">
        <color rgb="FF0956B2"/>
      </bottom>
      <diagonal/>
    </border>
    <border>
      <left style="medium">
        <color rgb="FF0956B2"/>
      </left>
      <right/>
      <top style="medium">
        <color rgb="FF0956B2"/>
      </top>
      <bottom style="medium">
        <color rgb="FF0956B2"/>
      </bottom>
      <diagonal/>
    </border>
    <border>
      <left/>
      <right/>
      <top style="medium">
        <color rgb="FF0956B2"/>
      </top>
      <bottom style="medium">
        <color rgb="FF0956B2"/>
      </bottom>
      <diagonal/>
    </border>
    <border>
      <left/>
      <right style="medium">
        <color rgb="FF0956B2"/>
      </right>
      <top style="medium">
        <color rgb="FF0956B2"/>
      </top>
      <bottom style="medium">
        <color rgb="FF0956B2"/>
      </bottom>
      <diagonal/>
    </border>
    <border>
      <left style="thick">
        <color rgb="FF0956B2"/>
      </left>
      <right/>
      <top style="thick">
        <color rgb="FF0956B2"/>
      </top>
      <bottom style="thick">
        <color rgb="FF0956B2"/>
      </bottom>
      <diagonal/>
    </border>
    <border>
      <left style="thick">
        <color theme="9" tint="0.79998168889431442"/>
      </left>
      <right/>
      <top style="thick">
        <color rgb="FF0956B2"/>
      </top>
      <bottom style="thick">
        <color rgb="FF0956B2"/>
      </bottom>
      <diagonal/>
    </border>
    <border>
      <left style="thick">
        <color theme="9" tint="0.79998168889431442"/>
      </left>
      <right style="thick">
        <color rgb="FF0956B2"/>
      </right>
      <top style="thick">
        <color rgb="FF0956B2"/>
      </top>
      <bottom style="thick">
        <color rgb="FF0956B2"/>
      </bottom>
      <diagonal/>
    </border>
    <border>
      <left style="medium">
        <color rgb="FF0956B2"/>
      </left>
      <right/>
      <top/>
      <bottom/>
      <diagonal/>
    </border>
    <border>
      <left/>
      <right style="medium">
        <color rgb="FF0956B2"/>
      </right>
      <top/>
      <bottom/>
      <diagonal/>
    </border>
    <border>
      <left style="medium">
        <color rgb="FF0956B2"/>
      </left>
      <right/>
      <top/>
      <bottom style="medium">
        <color rgb="FF0956B2"/>
      </bottom>
      <diagonal/>
    </border>
    <border>
      <left/>
      <right style="medium">
        <color rgb="FF0956B2"/>
      </right>
      <top/>
      <bottom style="medium">
        <color rgb="FF0956B2"/>
      </bottom>
      <diagonal/>
    </border>
    <border>
      <left/>
      <right/>
      <top/>
      <bottom style="medium">
        <color rgb="FF0956B2"/>
      </bottom>
      <diagonal/>
    </border>
    <border>
      <left/>
      <right/>
      <top/>
      <bottom style="thick">
        <color rgb="FF0956B2"/>
      </bottom>
      <diagonal/>
    </border>
    <border>
      <left style="thick">
        <color theme="9" tint="0.79998168889431442"/>
      </left>
      <right style="medium">
        <color rgb="FF0956B2"/>
      </right>
      <top style="thick">
        <color rgb="FF0956B2"/>
      </top>
      <bottom style="thick">
        <color rgb="FF0956B2"/>
      </bottom>
      <diagonal/>
    </border>
    <border>
      <left style="medium">
        <color rgb="FF0956B2"/>
      </left>
      <right style="thick">
        <color theme="9" tint="0.79998168889431442"/>
      </right>
      <top style="thick">
        <color rgb="FF0956B2"/>
      </top>
      <bottom style="thick">
        <color rgb="FF0956B2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medium">
        <color rgb="FF0956B2"/>
      </right>
      <top style="thick">
        <color rgb="FF0956B2"/>
      </top>
      <bottom/>
      <diagonal/>
    </border>
    <border>
      <left style="thick">
        <color theme="0"/>
      </left>
      <right style="medium">
        <color rgb="FF0956B2"/>
      </right>
      <top/>
      <bottom/>
      <diagonal/>
    </border>
    <border>
      <left style="thick">
        <color theme="0"/>
      </left>
      <right style="medium">
        <color rgb="FF0956B2"/>
      </right>
      <top/>
      <bottom style="medium">
        <color rgb="FF0956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3" fontId="27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Protection="1"/>
    <xf numFmtId="0" fontId="2" fillId="0" borderId="3" xfId="0" applyFont="1" applyBorder="1" applyAlignment="1" applyProtection="1">
      <alignment horizontal="center" vertical="center"/>
    </xf>
    <xf numFmtId="0" fontId="2" fillId="10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17" borderId="3" xfId="0" applyFont="1" applyFill="1" applyBorder="1" applyAlignment="1" applyProtection="1">
      <alignment horizontal="center" vertical="center" wrapText="1"/>
    </xf>
    <xf numFmtId="0" fontId="2" fillId="18" borderId="3" xfId="0" applyFont="1" applyFill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8" fillId="2" borderId="0" xfId="0" applyFont="1" applyFill="1" applyAlignment="1" applyProtection="1">
      <alignment vertical="center" wrapText="1"/>
    </xf>
    <xf numFmtId="165" fontId="28" fillId="2" borderId="0" xfId="0" applyNumberFormat="1" applyFont="1" applyFill="1" applyAlignment="1" applyProtection="1">
      <alignment horizontal="center" vertical="center" wrapText="1"/>
    </xf>
    <xf numFmtId="0" fontId="28" fillId="2" borderId="0" xfId="0" applyFont="1" applyFill="1" applyAlignment="1" applyProtection="1">
      <alignment horizontal="center" vertical="center" wrapText="1"/>
    </xf>
    <xf numFmtId="0" fontId="29" fillId="4" borderId="4" xfId="0" applyFont="1" applyFill="1" applyBorder="1" applyAlignment="1" applyProtection="1">
      <alignment horizontal="left" vertical="center" wrapText="1"/>
    </xf>
    <xf numFmtId="165" fontId="30" fillId="10" borderId="41" xfId="0" applyNumberFormat="1" applyFont="1" applyFill="1" applyBorder="1" applyAlignment="1" applyProtection="1">
      <alignment horizontal="center" vertical="center" wrapText="1"/>
    </xf>
    <xf numFmtId="9" fontId="26" fillId="3" borderId="1" xfId="0" applyNumberFormat="1" applyFont="1" applyFill="1" applyBorder="1" applyAlignment="1" applyProtection="1">
      <alignment horizontal="center" vertical="center" wrapText="1"/>
    </xf>
    <xf numFmtId="5" fontId="26" fillId="17" borderId="1" xfId="0" applyNumberFormat="1" applyFont="1" applyFill="1" applyBorder="1" applyAlignment="1" applyProtection="1">
      <alignment horizontal="center" vertical="center" wrapText="1"/>
    </xf>
    <xf numFmtId="5" fontId="26" fillId="18" borderId="1" xfId="0" applyNumberFormat="1" applyFont="1" applyFill="1" applyBorder="1" applyAlignment="1" applyProtection="1">
      <alignment horizontal="center" vertical="center" wrapText="1"/>
    </xf>
    <xf numFmtId="165" fontId="31" fillId="10" borderId="42" xfId="0" applyNumberFormat="1" applyFont="1" applyFill="1" applyBorder="1" applyAlignment="1" applyProtection="1">
      <alignment horizontal="center" vertical="center" wrapText="1"/>
    </xf>
    <xf numFmtId="9" fontId="26" fillId="3" borderId="4" xfId="0" applyNumberFormat="1" applyFont="1" applyFill="1" applyBorder="1" applyAlignment="1" applyProtection="1">
      <alignment horizontal="center" vertical="center" wrapText="1"/>
    </xf>
    <xf numFmtId="5" fontId="26" fillId="17" borderId="4" xfId="0" applyNumberFormat="1" applyFont="1" applyFill="1" applyBorder="1" applyAlignment="1" applyProtection="1">
      <alignment horizontal="center" vertical="center" wrapText="1"/>
    </xf>
    <xf numFmtId="5" fontId="26" fillId="18" borderId="4" xfId="0" applyNumberFormat="1" applyFont="1" applyFill="1" applyBorder="1" applyAlignment="1" applyProtection="1">
      <alignment horizontal="center" vertical="center" wrapText="1"/>
    </xf>
    <xf numFmtId="165" fontId="31" fillId="10" borderId="43" xfId="0" applyNumberFormat="1" applyFont="1" applyFill="1" applyBorder="1" applyAlignment="1" applyProtection="1">
      <alignment horizontal="center" vertical="center" wrapText="1"/>
    </xf>
    <xf numFmtId="9" fontId="26" fillId="3" borderId="44" xfId="0" applyNumberFormat="1" applyFont="1" applyFill="1" applyBorder="1" applyAlignment="1" applyProtection="1">
      <alignment horizontal="center" vertical="center" wrapText="1"/>
    </xf>
    <xf numFmtId="10" fontId="26" fillId="3" borderId="44" xfId="0" applyNumberFormat="1" applyFont="1" applyFill="1" applyBorder="1" applyAlignment="1" applyProtection="1">
      <alignment horizontal="center" vertical="center" wrapText="1"/>
    </xf>
    <xf numFmtId="5" fontId="26" fillId="17" borderId="44" xfId="0" applyNumberFormat="1" applyFont="1" applyFill="1" applyBorder="1" applyAlignment="1" applyProtection="1">
      <alignment horizontal="center" vertical="center" wrapText="1"/>
    </xf>
    <xf numFmtId="5" fontId="26" fillId="18" borderId="44" xfId="0" applyNumberFormat="1" applyFont="1" applyFill="1" applyBorder="1" applyAlignment="1" applyProtection="1">
      <alignment horizontal="center" vertical="center" wrapText="1"/>
    </xf>
    <xf numFmtId="165" fontId="31" fillId="10" borderId="41" xfId="0" applyNumberFormat="1" applyFont="1" applyFill="1" applyBorder="1" applyAlignment="1" applyProtection="1">
      <alignment horizontal="center" vertical="center" wrapText="1"/>
    </xf>
    <xf numFmtId="166" fontId="26" fillId="3" borderId="4" xfId="0" applyNumberFormat="1" applyFont="1" applyFill="1" applyBorder="1" applyAlignment="1" applyProtection="1">
      <alignment horizontal="center" vertical="center" wrapText="1"/>
    </xf>
    <xf numFmtId="6" fontId="26" fillId="3" borderId="4" xfId="0" applyNumberFormat="1" applyFont="1" applyFill="1" applyBorder="1" applyAlignment="1" applyProtection="1">
      <alignment horizontal="center" vertical="center" wrapText="1"/>
    </xf>
    <xf numFmtId="7" fontId="26" fillId="17" borderId="4" xfId="0" applyNumberFormat="1" applyFont="1" applyFill="1" applyBorder="1" applyAlignment="1" applyProtection="1">
      <alignment horizontal="center" vertical="center" wrapText="1"/>
    </xf>
    <xf numFmtId="9" fontId="26" fillId="3" borderId="4" xfId="1" applyFont="1" applyFill="1" applyBorder="1" applyAlignment="1" applyProtection="1">
      <alignment horizontal="center" vertical="center" wrapText="1"/>
    </xf>
    <xf numFmtId="10" fontId="26" fillId="3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16" borderId="0" xfId="0" applyFont="1" applyFill="1" applyProtection="1"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7" fillId="3" borderId="0" xfId="0" applyFont="1" applyFill="1" applyAlignment="1" applyProtection="1">
      <alignment horizontal="center" vertical="center"/>
      <protection locked="0"/>
    </xf>
    <xf numFmtId="6" fontId="2" fillId="0" borderId="0" xfId="0" applyNumberFormat="1" applyFont="1" applyProtection="1">
      <protection locked="0"/>
    </xf>
    <xf numFmtId="0" fontId="2" fillId="0" borderId="2" xfId="0" applyFont="1" applyBorder="1" applyAlignment="1" applyProtection="1">
      <alignment horizontal="centerContinuous" vertical="center"/>
    </xf>
    <xf numFmtId="0" fontId="2" fillId="0" borderId="40" xfId="0" applyFont="1" applyBorder="1" applyAlignment="1" applyProtection="1">
      <alignment horizontal="centerContinuous" vertical="center"/>
    </xf>
    <xf numFmtId="9" fontId="26" fillId="16" borderId="1" xfId="0" applyNumberFormat="1" applyFont="1" applyFill="1" applyBorder="1" applyAlignment="1" applyProtection="1">
      <alignment horizontal="center" vertical="center" wrapText="1"/>
    </xf>
    <xf numFmtId="9" fontId="26" fillId="16" borderId="4" xfId="0" applyNumberFormat="1" applyFont="1" applyFill="1" applyBorder="1" applyAlignment="1" applyProtection="1">
      <alignment horizontal="center" vertical="center" wrapText="1"/>
    </xf>
    <xf numFmtId="9" fontId="26" fillId="16" borderId="44" xfId="0" applyNumberFormat="1" applyFont="1" applyFill="1" applyBorder="1" applyAlignment="1" applyProtection="1">
      <alignment horizontal="center" vertical="center" wrapText="1"/>
    </xf>
    <xf numFmtId="10" fontId="26" fillId="16" borderId="44" xfId="0" applyNumberFormat="1" applyFont="1" applyFill="1" applyBorder="1" applyAlignment="1" applyProtection="1">
      <alignment horizontal="center" vertical="center" wrapText="1"/>
    </xf>
    <xf numFmtId="166" fontId="26" fillId="16" borderId="4" xfId="0" applyNumberFormat="1" applyFont="1" applyFill="1" applyBorder="1" applyAlignment="1" applyProtection="1">
      <alignment horizontal="center" vertical="center" wrapText="1"/>
    </xf>
    <xf numFmtId="6" fontId="26" fillId="16" borderId="4" xfId="0" applyNumberFormat="1" applyFont="1" applyFill="1" applyBorder="1" applyAlignment="1" applyProtection="1">
      <alignment horizontal="center" vertical="center" wrapText="1"/>
    </xf>
    <xf numFmtId="9" fontId="26" fillId="16" borderId="4" xfId="1" applyFont="1" applyFill="1" applyBorder="1" applyAlignment="1" applyProtection="1">
      <alignment horizontal="center" vertical="center" wrapText="1"/>
    </xf>
    <xf numFmtId="10" fontId="26" fillId="16" borderId="4" xfId="0" applyNumberFormat="1" applyFont="1" applyFill="1" applyBorder="1" applyAlignment="1" applyProtection="1">
      <alignment horizontal="center" vertical="center" wrapText="1"/>
    </xf>
    <xf numFmtId="0" fontId="15" fillId="8" borderId="14" xfId="0" applyFont="1" applyFill="1" applyBorder="1" applyAlignment="1" applyProtection="1">
      <alignment horizontal="center" vertical="center" wrapText="1"/>
      <protection locked="0"/>
    </xf>
    <xf numFmtId="164" fontId="9" fillId="8" borderId="12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10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0" xfId="0" applyFont="1" applyFill="1" applyBorder="1" applyProtection="1"/>
    <xf numFmtId="0" fontId="2" fillId="9" borderId="0" xfId="0" applyFont="1" applyFill="1" applyProtection="1"/>
    <xf numFmtId="0" fontId="2" fillId="0" borderId="32" xfId="0" applyFont="1" applyBorder="1" applyProtection="1"/>
    <xf numFmtId="0" fontId="2" fillId="0" borderId="0" xfId="0" applyFont="1" applyBorder="1" applyProtection="1"/>
    <xf numFmtId="0" fontId="2" fillId="15" borderId="0" xfId="0" applyFont="1" applyFill="1" applyBorder="1" applyProtection="1"/>
    <xf numFmtId="0" fontId="2" fillId="15" borderId="33" xfId="0" applyFont="1" applyFill="1" applyBorder="1" applyProtection="1"/>
    <xf numFmtId="0" fontId="11" fillId="0" borderId="32" xfId="0" applyFont="1" applyBorder="1" applyProtection="1"/>
    <xf numFmtId="0" fontId="11" fillId="0" borderId="0" xfId="0" applyFont="1" applyBorder="1" applyProtection="1"/>
    <xf numFmtId="0" fontId="12" fillId="0" borderId="6" xfId="0" applyFont="1" applyBorder="1" applyAlignment="1" applyProtection="1">
      <alignment horizontal="right" vertical="center"/>
    </xf>
    <xf numFmtId="0" fontId="3" fillId="8" borderId="5" xfId="0" applyFont="1" applyFill="1" applyBorder="1" applyAlignment="1" applyProtection="1">
      <alignment horizontal="left" vertical="center" wrapText="1"/>
    </xf>
    <xf numFmtId="0" fontId="11" fillId="15" borderId="0" xfId="0" applyFont="1" applyFill="1" applyBorder="1" applyProtection="1"/>
    <xf numFmtId="0" fontId="11" fillId="15" borderId="33" xfId="0" applyFont="1" applyFill="1" applyBorder="1" applyProtection="1"/>
    <xf numFmtId="0" fontId="11" fillId="9" borderId="0" xfId="0" applyFont="1" applyFill="1" applyProtection="1"/>
    <xf numFmtId="0" fontId="12" fillId="0" borderId="0" xfId="0" applyFont="1" applyBorder="1" applyAlignment="1" applyProtection="1">
      <alignment horizontal="right" vertical="center"/>
    </xf>
    <xf numFmtId="0" fontId="17" fillId="0" borderId="6" xfId="0" applyFont="1" applyBorder="1" applyAlignment="1" applyProtection="1">
      <alignment horizontal="left" vertical="top" indent="1"/>
    </xf>
    <xf numFmtId="0" fontId="14" fillId="9" borderId="7" xfId="0" applyFont="1" applyFill="1" applyBorder="1" applyAlignment="1" applyProtection="1">
      <alignment horizontal="center" vertical="center"/>
    </xf>
    <xf numFmtId="0" fontId="16" fillId="0" borderId="0" xfId="0" applyFont="1" applyBorder="1" applyProtection="1"/>
    <xf numFmtId="5" fontId="13" fillId="9" borderId="7" xfId="0" applyNumberFormat="1" applyFont="1" applyFill="1" applyBorder="1" applyAlignment="1" applyProtection="1">
      <alignment horizontal="center" vertical="center"/>
    </xf>
    <xf numFmtId="6" fontId="2" fillId="9" borderId="0" xfId="0" applyNumberFormat="1" applyFont="1" applyFill="1" applyProtection="1"/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Protection="1"/>
    <xf numFmtId="5" fontId="6" fillId="0" borderId="0" xfId="0" applyNumberFormat="1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left" vertical="top" indent="1"/>
    </xf>
    <xf numFmtId="0" fontId="2" fillId="15" borderId="26" xfId="0" applyFont="1" applyFill="1" applyBorder="1" applyProtection="1"/>
    <xf numFmtId="0" fontId="7" fillId="0" borderId="32" xfId="0" applyFont="1" applyBorder="1" applyAlignment="1" applyProtection="1">
      <alignment horizontal="left" vertical="top" wrapText="1"/>
    </xf>
    <xf numFmtId="0" fontId="19" fillId="5" borderId="14" xfId="0" applyFont="1" applyFill="1" applyBorder="1" applyAlignment="1" applyProtection="1">
      <alignment horizontal="center" vertical="center" wrapText="1"/>
    </xf>
    <xf numFmtId="0" fontId="24" fillId="10" borderId="18" xfId="0" applyFont="1" applyFill="1" applyBorder="1" applyAlignment="1" applyProtection="1">
      <alignment horizontal="center" vertical="center" wrapText="1"/>
    </xf>
    <xf numFmtId="0" fontId="24" fillId="11" borderId="27" xfId="0" applyFont="1" applyFill="1" applyBorder="1" applyAlignment="1" applyProtection="1">
      <alignment horizontal="center" vertical="center" wrapText="1"/>
    </xf>
    <xf numFmtId="0" fontId="24" fillId="14" borderId="28" xfId="0" applyFont="1" applyFill="1" applyBorder="1" applyAlignment="1" applyProtection="1">
      <alignment horizontal="center" vertical="center" wrapText="1"/>
    </xf>
    <xf numFmtId="0" fontId="24" fillId="14" borderId="19" xfId="0" applyFont="1" applyFill="1" applyBorder="1" applyAlignment="1" applyProtection="1">
      <alignment horizontal="center" vertical="center" wrapText="1"/>
    </xf>
    <xf numFmtId="0" fontId="24" fillId="14" borderId="20" xfId="0" applyFont="1" applyFill="1" applyBorder="1" applyAlignment="1" applyProtection="1">
      <alignment horizontal="center" vertical="center" wrapText="1"/>
    </xf>
    <xf numFmtId="0" fontId="2" fillId="15" borderId="0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left" vertical="center" wrapText="1"/>
    </xf>
    <xf numFmtId="6" fontId="25" fillId="0" borderId="21" xfId="0" applyNumberFormat="1" applyFont="1" applyBorder="1" applyAlignment="1" applyProtection="1">
      <alignment horizontal="center" vertical="center"/>
    </xf>
    <xf numFmtId="6" fontId="25" fillId="13" borderId="22" xfId="0" applyNumberFormat="1" applyFont="1" applyFill="1" applyBorder="1" applyAlignment="1" applyProtection="1">
      <alignment horizontal="center" vertical="center"/>
    </xf>
    <xf numFmtId="6" fontId="25" fillId="12" borderId="21" xfId="0" applyNumberFormat="1" applyFont="1" applyFill="1" applyBorder="1" applyAlignment="1" applyProtection="1">
      <alignment horizontal="center" vertical="center"/>
    </xf>
    <xf numFmtId="6" fontId="25" fillId="12" borderId="0" xfId="0" applyNumberFormat="1" applyFont="1" applyFill="1" applyBorder="1" applyAlignment="1" applyProtection="1">
      <alignment horizontal="center" vertical="center"/>
    </xf>
    <xf numFmtId="6" fontId="25" fillId="12" borderId="22" xfId="0" applyNumberFormat="1" applyFont="1" applyFill="1" applyBorder="1" applyAlignment="1" applyProtection="1">
      <alignment horizontal="center" vertical="center"/>
    </xf>
    <xf numFmtId="0" fontId="20" fillId="10" borderId="8" xfId="0" applyFont="1" applyFill="1" applyBorder="1" applyAlignment="1" applyProtection="1">
      <alignment horizontal="left" vertical="center" wrapText="1"/>
    </xf>
    <xf numFmtId="0" fontId="20" fillId="10" borderId="9" xfId="0" applyFont="1" applyFill="1" applyBorder="1" applyAlignment="1" applyProtection="1">
      <alignment horizontal="left" vertical="center" wrapText="1"/>
    </xf>
    <xf numFmtId="6" fontId="25" fillId="0" borderId="23" xfId="0" applyNumberFormat="1" applyFont="1" applyBorder="1" applyAlignment="1" applyProtection="1">
      <alignment horizontal="center" vertical="center"/>
    </xf>
    <xf numFmtId="6" fontId="25" fillId="13" borderId="24" xfId="0" applyNumberFormat="1" applyFont="1" applyFill="1" applyBorder="1" applyAlignment="1" applyProtection="1">
      <alignment horizontal="center" vertical="center"/>
    </xf>
    <xf numFmtId="6" fontId="25" fillId="12" borderId="23" xfId="0" applyNumberFormat="1" applyFont="1" applyFill="1" applyBorder="1" applyAlignment="1" applyProtection="1">
      <alignment horizontal="center" vertical="center"/>
    </xf>
    <xf numFmtId="6" fontId="25" fillId="12" borderId="25" xfId="0" applyNumberFormat="1" applyFont="1" applyFill="1" applyBorder="1" applyAlignment="1" applyProtection="1">
      <alignment horizontal="center" vertical="center"/>
    </xf>
    <xf numFmtId="6" fontId="25" fillId="12" borderId="24" xfId="0" applyNumberFormat="1" applyFont="1" applyFill="1" applyBorder="1" applyAlignment="1" applyProtection="1">
      <alignment horizontal="center" vertical="center"/>
    </xf>
    <xf numFmtId="0" fontId="2" fillId="0" borderId="33" xfId="0" applyFont="1" applyBorder="1" applyProtection="1"/>
    <xf numFmtId="0" fontId="2" fillId="0" borderId="34" xfId="0" applyFont="1" applyBorder="1" applyProtection="1"/>
    <xf numFmtId="0" fontId="2" fillId="0" borderId="35" xfId="0" applyFont="1" applyBorder="1" applyProtection="1"/>
    <xf numFmtId="0" fontId="2" fillId="0" borderId="36" xfId="0" applyFont="1" applyBorder="1" applyProtection="1"/>
    <xf numFmtId="0" fontId="33" fillId="9" borderId="0" xfId="0" applyFont="1" applyFill="1" applyProtection="1"/>
    <xf numFmtId="0" fontId="33" fillId="9" borderId="0" xfId="0" applyFont="1" applyFill="1" applyAlignment="1" applyProtection="1">
      <alignment horizontal="center" vertical="center" wrapText="1"/>
    </xf>
    <xf numFmtId="0" fontId="33" fillId="9" borderId="0" xfId="0" applyFont="1" applyFill="1" applyAlignment="1" applyProtection="1">
      <alignment horizontal="right" vertical="center"/>
    </xf>
    <xf numFmtId="6" fontId="33" fillId="9" borderId="0" xfId="0" applyNumberFormat="1" applyFont="1" applyFill="1" applyAlignment="1" applyProtection="1">
      <alignment horizontal="center" vertical="center"/>
    </xf>
    <xf numFmtId="6" fontId="34" fillId="9" borderId="0" xfId="0" applyNumberFormat="1" applyFont="1" applyFill="1" applyAlignment="1" applyProtection="1">
      <alignment horizontal="center" vertical="center"/>
    </xf>
    <xf numFmtId="0" fontId="34" fillId="9" borderId="0" xfId="0" applyFont="1" applyFill="1" applyAlignment="1" applyProtection="1">
      <alignment horizontal="right" vertical="center"/>
    </xf>
    <xf numFmtId="9" fontId="34" fillId="9" borderId="0" xfId="1" applyFont="1" applyFill="1" applyBorder="1" applyAlignment="1" applyProtection="1">
      <alignment horizontal="center" vertical="center"/>
    </xf>
    <xf numFmtId="0" fontId="24" fillId="20" borderId="18" xfId="0" applyFont="1" applyFill="1" applyBorder="1" applyAlignment="1" applyProtection="1">
      <alignment horizontal="center" vertical="center" wrapText="1"/>
    </xf>
    <xf numFmtId="0" fontId="24" fillId="21" borderId="27" xfId="0" applyFont="1" applyFill="1" applyBorder="1" applyAlignment="1" applyProtection="1">
      <alignment horizontal="center" vertical="center" wrapText="1"/>
    </xf>
    <xf numFmtId="2" fontId="2" fillId="9" borderId="0" xfId="0" applyNumberFormat="1" applyFont="1" applyFill="1" applyProtection="1"/>
    <xf numFmtId="14" fontId="33" fillId="9" borderId="0" xfId="0" applyNumberFormat="1" applyFont="1" applyFill="1" applyProtection="1"/>
    <xf numFmtId="165" fontId="31" fillId="16" borderId="43" xfId="0" applyNumberFormat="1" applyFont="1" applyFill="1" applyBorder="1" applyAlignment="1" applyProtection="1">
      <alignment horizontal="center" vertical="center" wrapText="1"/>
    </xf>
    <xf numFmtId="165" fontId="31" fillId="16" borderId="42" xfId="0" applyNumberFormat="1" applyFont="1" applyFill="1" applyBorder="1" applyAlignment="1" applyProtection="1">
      <alignment horizontal="center" vertical="center" wrapText="1"/>
    </xf>
    <xf numFmtId="165" fontId="31" fillId="16" borderId="41" xfId="0" applyNumberFormat="1" applyFont="1" applyFill="1" applyBorder="1" applyAlignment="1" applyProtection="1">
      <alignment horizontal="center" vertical="center" wrapText="1"/>
    </xf>
    <xf numFmtId="0" fontId="35" fillId="0" borderId="0" xfId="0" applyFont="1" applyFill="1" applyAlignment="1" applyProtection="1">
      <alignment vertical="center"/>
      <protection locked="0"/>
    </xf>
    <xf numFmtId="0" fontId="7" fillId="22" borderId="0" xfId="0" applyFont="1" applyFill="1" applyAlignment="1" applyProtection="1">
      <alignment horizontal="center" vertical="center"/>
      <protection locked="0"/>
    </xf>
    <xf numFmtId="0" fontId="2" fillId="22" borderId="0" xfId="0" applyFont="1" applyFill="1" applyProtection="1">
      <protection locked="0"/>
    </xf>
    <xf numFmtId="8" fontId="25" fillId="20" borderId="21" xfId="0" applyNumberFormat="1" applyFont="1" applyFill="1" applyBorder="1" applyAlignment="1" applyProtection="1">
      <alignment horizontal="center" vertical="center"/>
    </xf>
    <xf numFmtId="8" fontId="25" fillId="12" borderId="45" xfId="0" applyNumberFormat="1" applyFont="1" applyFill="1" applyBorder="1" applyAlignment="1" applyProtection="1">
      <alignment horizontal="center" vertical="center"/>
    </xf>
    <xf numFmtId="8" fontId="25" fillId="12" borderId="21" xfId="0" applyNumberFormat="1" applyFont="1" applyFill="1" applyBorder="1" applyAlignment="1" applyProtection="1">
      <alignment horizontal="center" vertical="center"/>
    </xf>
    <xf numFmtId="8" fontId="25" fillId="12" borderId="0" xfId="0" applyNumberFormat="1" applyFont="1" applyFill="1" applyBorder="1" applyAlignment="1" applyProtection="1">
      <alignment horizontal="center" vertical="center"/>
    </xf>
    <xf numFmtId="8" fontId="25" fillId="12" borderId="22" xfId="0" applyNumberFormat="1" applyFont="1" applyFill="1" applyBorder="1" applyAlignment="1" applyProtection="1">
      <alignment horizontal="center" vertical="center"/>
    </xf>
    <xf numFmtId="8" fontId="25" fillId="12" borderId="46" xfId="0" applyNumberFormat="1" applyFont="1" applyFill="1" applyBorder="1" applyAlignment="1" applyProtection="1">
      <alignment horizontal="center" vertical="center"/>
    </xf>
    <xf numFmtId="8" fontId="25" fillId="20" borderId="23" xfId="0" applyNumberFormat="1" applyFont="1" applyFill="1" applyBorder="1" applyAlignment="1" applyProtection="1">
      <alignment horizontal="center" vertical="center"/>
    </xf>
    <xf numFmtId="8" fontId="25" fillId="12" borderId="47" xfId="0" applyNumberFormat="1" applyFont="1" applyFill="1" applyBorder="1" applyAlignment="1" applyProtection="1">
      <alignment horizontal="center" vertical="center"/>
    </xf>
    <xf numFmtId="8" fontId="25" fillId="12" borderId="23" xfId="0" applyNumberFormat="1" applyFont="1" applyFill="1" applyBorder="1" applyAlignment="1" applyProtection="1">
      <alignment horizontal="center" vertical="center"/>
    </xf>
    <xf numFmtId="8" fontId="25" fillId="12" borderId="25" xfId="0" applyNumberFormat="1" applyFont="1" applyFill="1" applyBorder="1" applyAlignment="1" applyProtection="1">
      <alignment horizontal="center" vertical="center"/>
    </xf>
    <xf numFmtId="8" fontId="25" fillId="12" borderId="24" xfId="0" applyNumberFormat="1" applyFont="1" applyFill="1" applyBorder="1" applyAlignment="1" applyProtection="1">
      <alignment horizontal="center" vertical="center"/>
    </xf>
    <xf numFmtId="0" fontId="35" fillId="2" borderId="0" xfId="0" applyFont="1" applyFill="1" applyAlignment="1" applyProtection="1">
      <alignment horizontal="center"/>
      <protection locked="0"/>
    </xf>
    <xf numFmtId="0" fontId="35" fillId="19" borderId="0" xfId="0" applyFont="1" applyFill="1" applyAlignment="1" applyProtection="1">
      <alignment horizontal="center" vertical="center"/>
      <protection locked="0"/>
    </xf>
    <xf numFmtId="0" fontId="26" fillId="0" borderId="48" xfId="0" applyFont="1" applyBorder="1" applyAlignment="1" applyProtection="1">
      <alignment horizontal="center" vertical="top" wrapText="1"/>
      <protection locked="0"/>
    </xf>
    <xf numFmtId="0" fontId="26" fillId="0" borderId="49" xfId="0" applyFont="1" applyBorder="1" applyAlignment="1" applyProtection="1">
      <alignment horizontal="center" vertical="top" wrapText="1"/>
      <protection locked="0"/>
    </xf>
    <xf numFmtId="0" fontId="26" fillId="0" borderId="50" xfId="0" applyFont="1" applyBorder="1" applyAlignment="1" applyProtection="1">
      <alignment horizontal="center" vertical="top" wrapText="1"/>
      <protection locked="0"/>
    </xf>
    <xf numFmtId="0" fontId="26" fillId="0" borderId="48" xfId="0" applyFont="1" applyBorder="1" applyAlignment="1" applyProtection="1">
      <alignment horizontal="center" wrapText="1"/>
      <protection locked="0"/>
    </xf>
    <xf numFmtId="0" fontId="26" fillId="0" borderId="49" xfId="0" applyFont="1" applyBorder="1" applyAlignment="1" applyProtection="1">
      <alignment horizontal="center" wrapText="1"/>
      <protection locked="0"/>
    </xf>
    <xf numFmtId="0" fontId="26" fillId="0" borderId="50" xfId="0" applyFont="1" applyBorder="1" applyAlignment="1" applyProtection="1">
      <alignment horizontal="center" wrapText="1"/>
      <protection locked="0"/>
    </xf>
    <xf numFmtId="0" fontId="23" fillId="11" borderId="15" xfId="0" applyFont="1" applyFill="1" applyBorder="1" applyAlignment="1" applyProtection="1">
      <alignment horizontal="center" vertical="center"/>
    </xf>
    <xf numFmtId="0" fontId="23" fillId="11" borderId="16" xfId="0" applyFont="1" applyFill="1" applyBorder="1" applyAlignment="1" applyProtection="1">
      <alignment horizontal="center" vertical="center"/>
    </xf>
    <xf numFmtId="0" fontId="23" fillId="11" borderId="17" xfId="0" applyFont="1" applyFill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top" wrapText="1"/>
    </xf>
    <xf numFmtId="0" fontId="22" fillId="0" borderId="35" xfId="0" applyFont="1" applyBorder="1" applyAlignment="1" applyProtection="1">
      <alignment horizontal="left" vertical="top" wrapText="1"/>
    </xf>
    <xf numFmtId="0" fontId="8" fillId="6" borderId="29" xfId="0" applyFont="1" applyFill="1" applyBorder="1" applyAlignment="1" applyProtection="1">
      <alignment horizontal="center" vertical="center"/>
    </xf>
    <xf numFmtId="0" fontId="8" fillId="6" borderId="30" xfId="0" applyFont="1" applyFill="1" applyBorder="1" applyAlignment="1" applyProtection="1">
      <alignment horizontal="center" vertical="center"/>
    </xf>
    <xf numFmtId="0" fontId="8" fillId="6" borderId="31" xfId="0" applyFont="1" applyFill="1" applyBorder="1" applyAlignment="1" applyProtection="1">
      <alignment horizontal="center" vertical="center"/>
    </xf>
    <xf numFmtId="0" fontId="8" fillId="6" borderId="32" xfId="0" applyFont="1" applyFill="1" applyBorder="1" applyAlignment="1" applyProtection="1">
      <alignment horizontal="center" vertical="center"/>
    </xf>
    <xf numFmtId="0" fontId="8" fillId="6" borderId="0" xfId="0" applyFont="1" applyFill="1" applyBorder="1" applyAlignment="1" applyProtection="1">
      <alignment horizontal="center" vertical="center"/>
    </xf>
    <xf numFmtId="0" fontId="8" fillId="6" borderId="33" xfId="0" applyFont="1" applyFill="1" applyBorder="1" applyAlignment="1" applyProtection="1">
      <alignment horizontal="center" vertical="center"/>
    </xf>
    <xf numFmtId="0" fontId="10" fillId="7" borderId="37" xfId="0" applyFont="1" applyFill="1" applyBorder="1" applyAlignment="1" applyProtection="1">
      <alignment horizontal="center" vertical="center"/>
    </xf>
    <xf numFmtId="0" fontId="10" fillId="7" borderId="38" xfId="0" applyFont="1" applyFill="1" applyBorder="1" applyAlignment="1" applyProtection="1">
      <alignment horizontal="center" vertical="center"/>
    </xf>
    <xf numFmtId="0" fontId="10" fillId="7" borderId="39" xfId="0" applyFont="1" applyFill="1" applyBorder="1" applyAlignment="1" applyProtection="1">
      <alignment horizontal="center" vertical="center"/>
    </xf>
    <xf numFmtId="0" fontId="17" fillId="21" borderId="26" xfId="0" applyFont="1" applyFill="1" applyBorder="1" applyAlignment="1" applyProtection="1">
      <alignment horizontal="center" vertical="center"/>
    </xf>
    <xf numFmtId="6" fontId="26" fillId="23" borderId="4" xfId="0" applyNumberFormat="1" applyFont="1" applyFill="1" applyBorder="1" applyAlignment="1" applyProtection="1">
      <alignment horizontal="center" vertical="center" wrapText="1"/>
    </xf>
    <xf numFmtId="164" fontId="26" fillId="17" borderId="4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956B2"/>
      <color rgb="FFC4DDFC"/>
      <color rgb="FF98C4FA"/>
      <color rgb="FFFFDB69"/>
      <color rgb="FFE8F2FE"/>
      <color rgb="FF58BABA"/>
      <color rgb="FF95D4D3"/>
      <color rgb="FFD6EEEE"/>
      <color rgb="FF12A88A"/>
      <color rgb="FFEE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50000"/>
                  </a:schemeClr>
                </a:solidFill>
                <a:latin typeface="var(--msl-fontFamily-heading)"/>
                <a:ea typeface="+mn-ea"/>
                <a:cs typeface="+mn-cs"/>
              </a:defRPr>
            </a:pPr>
            <a:r>
              <a:rPr lang="fr-FR" sz="1600"/>
              <a:t>Remboursement </a:t>
            </a:r>
          </a:p>
          <a:p>
            <a:pPr>
              <a:defRPr sz="1600"/>
            </a:pPr>
            <a:r>
              <a:rPr lang="fr-FR" sz="1600"/>
              <a:t>par niveau de contrat</a:t>
            </a:r>
          </a:p>
        </c:rich>
      </c:tx>
      <c:layout>
        <c:manualLayout>
          <c:xMode val="edge"/>
          <c:yMode val="edge"/>
          <c:x val="0.25403497111427381"/>
          <c:y val="1.82231003584449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50000"/>
                </a:schemeClr>
              </a:solidFill>
              <a:latin typeface="var(--msl-fontFamily-heading)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4740468588371201E-2"/>
          <c:y val="0.22263974714393719"/>
          <c:w val="0.9319637113819792"/>
          <c:h val="0.705944657054750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Simulateur!$J$42</c:f>
              <c:strCache>
                <c:ptCount val="1"/>
                <c:pt idx="0">
                  <c:v>Régime CAMIEG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Simulateur!$K$42:$N$42</c:f>
              <c:numCache>
                <c:formatCode>"€"#,##0_);[Red]\("€"#,##0\)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F-40F2-A290-73BFB61E1F3A}"/>
            </c:ext>
          </c:extLst>
        </c:ser>
        <c:ser>
          <c:idx val="1"/>
          <c:order val="1"/>
          <c:tx>
            <c:strRef>
              <c:f>Simulateur!$J$43</c:f>
              <c:strCache>
                <c:ptCount val="1"/>
                <c:pt idx="0">
                  <c:v>Rbts. Mutuelle</c:v>
                </c:pt>
              </c:strCache>
            </c:strRef>
          </c:tx>
          <c:spPr>
            <a:solidFill>
              <a:srgbClr val="98C4FA"/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Simulateur!$K$43:$N$43</c:f>
              <c:numCache>
                <c:formatCode>"€"#,##0_);[Red]\("€"#,##0\)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F-40F2-A290-73BFB61E1F3A}"/>
            </c:ext>
          </c:extLst>
        </c:ser>
        <c:ser>
          <c:idx val="2"/>
          <c:order val="2"/>
          <c:tx>
            <c:strRef>
              <c:f>Simulateur!$J$44</c:f>
              <c:strCache>
                <c:ptCount val="1"/>
                <c:pt idx="0">
                  <c:v>Reste à charge</c:v>
                </c:pt>
              </c:strCache>
            </c:strRef>
          </c:tx>
          <c:spPr>
            <a:solidFill>
              <a:srgbClr val="FFDB69"/>
            </a:solidFill>
            <a:ln>
              <a:solidFill>
                <a:schemeClr val="bg1"/>
              </a:solidFill>
            </a:ln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50000"/>
                      </a:schemeClr>
                    </a:solidFill>
                    <a:latin typeface="var(--msl-fontFamily-heading)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Simulateur!$K$41:$N$41</c:f>
              <c:strCache>
                <c:ptCount val="4"/>
                <c:pt idx="0">
                  <c:v>Contrat CSM</c:v>
                </c:pt>
                <c:pt idx="1">
                  <c:v>SELECT</c:v>
                </c:pt>
                <c:pt idx="2">
                  <c:v>MEDIUM</c:v>
                </c:pt>
                <c:pt idx="3">
                  <c:v>PREMIUM</c:v>
                </c:pt>
              </c:strCache>
            </c:strRef>
          </c:cat>
          <c:val>
            <c:numRef>
              <c:f>Simulateur!$K$44:$N$44</c:f>
              <c:numCache>
                <c:formatCode>"€"#,##0_);[Red]\("€"#,##0\)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F-40F2-A290-73BFB61E1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122595008"/>
        <c:axId val="1122597888"/>
      </c:barChart>
      <c:catAx>
        <c:axId val="11225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50000"/>
                  </a:schemeClr>
                </a:solidFill>
                <a:latin typeface="var(--msl-fontFamily-heading)"/>
                <a:ea typeface="+mn-ea"/>
                <a:cs typeface="+mn-cs"/>
              </a:defRPr>
            </a:pPr>
            <a:endParaRPr lang="fr-FR"/>
          </a:p>
        </c:txPr>
        <c:crossAx val="1122597888"/>
        <c:crosses val="autoZero"/>
        <c:auto val="1"/>
        <c:lblAlgn val="ctr"/>
        <c:lblOffset val="100"/>
        <c:noMultiLvlLbl val="0"/>
      </c:catAx>
      <c:valAx>
        <c:axId val="1122597888"/>
        <c:scaling>
          <c:orientation val="minMax"/>
        </c:scaling>
        <c:delete val="1"/>
        <c:axPos val="l"/>
        <c:numFmt formatCode="&quot;€&quot;#,##0_);[Red]\(&quot;€&quot;#,##0\)" sourceLinked="1"/>
        <c:majorTickMark val="none"/>
        <c:minorTickMark val="none"/>
        <c:tickLblPos val="nextTo"/>
        <c:crossAx val="112259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50000"/>
                </a:schemeClr>
              </a:solidFill>
              <a:latin typeface="var(--msl-fontFamily-heading)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chemeClr val="tx1">
              <a:lumMod val="50000"/>
            </a:schemeClr>
          </a:solidFill>
          <a:latin typeface="var(--msl-fontFamily-heading)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3525344</xdr:colOff>
      <xdr:row>0</xdr:row>
      <xdr:rowOff>313073</xdr:rowOff>
    </xdr:from>
    <xdr:to>
      <xdr:col>16</xdr:col>
      <xdr:colOff>226518</xdr:colOff>
      <xdr:row>3</xdr:row>
      <xdr:rowOff>117941</xdr:rowOff>
    </xdr:to>
    <xdr:pic>
      <xdr:nvPicPr>
        <xdr:cNvPr id="8" name="Picture 2" descr="Crédit Agricole Assurances Logo tricolore">
          <a:extLst>
            <a:ext uri="{FF2B5EF4-FFF2-40B4-BE49-F238E27FC236}">
              <a16:creationId xmlns:a16="http://schemas.microsoft.com/office/drawing/2014/main" id="{768F397C-790A-C6E1-6B09-6E228798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90947" y="313073"/>
          <a:ext cx="1080484" cy="8563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4177894</xdr:colOff>
      <xdr:row>7</xdr:row>
      <xdr:rowOff>263821</xdr:rowOff>
    </xdr:from>
    <xdr:to>
      <xdr:col>4</xdr:col>
      <xdr:colOff>4685782</xdr:colOff>
      <xdr:row>8</xdr:row>
      <xdr:rowOff>361905</xdr:rowOff>
    </xdr:to>
    <xdr:pic>
      <xdr:nvPicPr>
        <xdr:cNvPr id="10" name="Picture 2" descr="1563372-200 - The Lean Six Sigma Company">
          <a:extLst>
            <a:ext uri="{FF2B5EF4-FFF2-40B4-BE49-F238E27FC236}">
              <a16:creationId xmlns:a16="http://schemas.microsoft.com/office/drawing/2014/main" id="{077D08C3-6748-1E4E-DC55-B2F92F6C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901880">
          <a:off x="5678262" y="2737677"/>
          <a:ext cx="506980" cy="507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4177894</xdr:colOff>
      <xdr:row>7</xdr:row>
      <xdr:rowOff>263821</xdr:rowOff>
    </xdr:from>
    <xdr:to>
      <xdr:col>4</xdr:col>
      <xdr:colOff>4685782</xdr:colOff>
      <xdr:row>8</xdr:row>
      <xdr:rowOff>361905</xdr:rowOff>
    </xdr:to>
    <xdr:pic>
      <xdr:nvPicPr>
        <xdr:cNvPr id="12" name="Picture 2" descr="1563372-200 - The Lean Six Sigma Company">
          <a:extLst>
            <a:ext uri="{FF2B5EF4-FFF2-40B4-BE49-F238E27FC236}">
              <a16:creationId xmlns:a16="http://schemas.microsoft.com/office/drawing/2014/main" id="{F22E4595-5E23-4F45-8F3E-F00217D3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901880">
          <a:off x="5676675" y="2739264"/>
          <a:ext cx="506980" cy="504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1600565</xdr:colOff>
      <xdr:row>10</xdr:row>
      <xdr:rowOff>209440</xdr:rowOff>
    </xdr:from>
    <xdr:to>
      <xdr:col>6</xdr:col>
      <xdr:colOff>2114168</xdr:colOff>
      <xdr:row>11</xdr:row>
      <xdr:rowOff>399883</xdr:rowOff>
    </xdr:to>
    <xdr:pic>
      <xdr:nvPicPr>
        <xdr:cNvPr id="13" name="Picture 2" descr="1563372-200 - The Lean Six Sigma Company">
          <a:extLst>
            <a:ext uri="{FF2B5EF4-FFF2-40B4-BE49-F238E27FC236}">
              <a16:creationId xmlns:a16="http://schemas.microsoft.com/office/drawing/2014/main" id="{B9E12EB6-A655-4FDD-A559-B90E4A45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901880">
          <a:off x="7956252" y="3363138"/>
          <a:ext cx="518353" cy="519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124510</xdr:colOff>
      <xdr:row>11</xdr:row>
      <xdr:rowOff>57917</xdr:rowOff>
    </xdr:from>
    <xdr:to>
      <xdr:col>16</xdr:col>
      <xdr:colOff>35581</xdr:colOff>
      <xdr:row>19</xdr:row>
      <xdr:rowOff>417786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2C32F898-5F4D-A794-8008-77F1FB119388}"/>
            </a:ext>
          </a:extLst>
        </xdr:cNvPr>
        <xdr:cNvSpPr/>
      </xdr:nvSpPr>
      <xdr:spPr>
        <a:xfrm>
          <a:off x="13957549" y="3631348"/>
          <a:ext cx="4293816" cy="5228203"/>
        </a:xfrm>
        <a:prstGeom prst="roundRect">
          <a:avLst>
            <a:gd name="adj" fmla="val 7357"/>
          </a:avLst>
        </a:prstGeom>
        <a:solidFill>
          <a:schemeClr val="bg1"/>
        </a:solidFill>
        <a:ln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15</xdr:col>
      <xdr:colOff>218017</xdr:colOff>
      <xdr:row>11</xdr:row>
      <xdr:rowOff>251810</xdr:rowOff>
    </xdr:from>
    <xdr:to>
      <xdr:col>15</xdr:col>
      <xdr:colOff>4324649</xdr:colOff>
      <xdr:row>19</xdr:row>
      <xdr:rowOff>301953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BB480F81-1641-4F02-BB43-ECF615D4F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283448</xdr:colOff>
      <xdr:row>5</xdr:row>
      <xdr:rowOff>124509</xdr:rowOff>
    </xdr:from>
    <xdr:to>
      <xdr:col>10</xdr:col>
      <xdr:colOff>643999</xdr:colOff>
      <xdr:row>8</xdr:row>
      <xdr:rowOff>339547</xdr:rowOff>
    </xdr:to>
    <xdr:pic>
      <xdr:nvPicPr>
        <xdr:cNvPr id="16" name="Image 15" descr="bilan de santé ">
          <a:extLst>
            <a:ext uri="{FF2B5EF4-FFF2-40B4-BE49-F238E27FC236}">
              <a16:creationId xmlns:a16="http://schemas.microsoft.com/office/drawing/2014/main" id="{687451E9-7C9F-10D8-9A46-A7B922FC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4330" y="1643529"/>
          <a:ext cx="1191592" cy="123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1287161</xdr:colOff>
      <xdr:row>5</xdr:row>
      <xdr:rowOff>39222</xdr:rowOff>
    </xdr:from>
    <xdr:to>
      <xdr:col>15</xdr:col>
      <xdr:colOff>4303536</xdr:colOff>
      <xdr:row>7</xdr:row>
      <xdr:rowOff>74706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21B4ECA-B43E-23C2-5D92-8E91072DC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9244" b="96639" l="3416" r="92979">
                      <a14:foregroundMark x1="3605" y1="48739" x2="3605" y2="48739"/>
                      <a14:foregroundMark x1="13472" y1="57143" x2="13472" y2="57143"/>
                      <a14:foregroundMark x1="30740" y1="47059" x2="30740" y2="47059"/>
                      <a14:foregroundMark x1="38330" y1="55462" x2="38330" y2="55462"/>
                      <a14:foregroundMark x1="50854" y1="39496" x2="50854" y2="39496"/>
                      <a14:foregroundMark x1="71347" y1="55462" x2="71347" y2="55462"/>
                      <a14:foregroundMark x1="61290" y1="96639" x2="61290" y2="96639"/>
                      <a14:foregroundMark x1="70968" y1="23529" x2="70968" y2="23529"/>
                      <a14:foregroundMark x1="78558" y1="39496" x2="78558" y2="39496"/>
                      <a14:foregroundMark x1="78937" y1="39496" x2="78937" y2="39496"/>
                      <a14:foregroundMark x1="78368" y1="29412" x2="79886" y2="51261"/>
                      <a14:foregroundMark x1="84630" y1="46218" x2="84630" y2="46218"/>
                      <a14:foregroundMark x1="89753" y1="46218" x2="89753" y2="46218"/>
                      <a14:foregroundMark x1="92979" y1="38655" x2="92979" y2="38655"/>
                      <a14:foregroundMark x1="78937" y1="18487" x2="78937" y2="18487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068377" y="1566654"/>
          <a:ext cx="3016375" cy="687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1">
  <a:themeElements>
    <a:clrScheme name="Personnalisé 24">
      <a:dk1>
        <a:srgbClr val="3C3C3B"/>
      </a:dk1>
      <a:lt1>
        <a:srgbClr val="FFFFFF"/>
      </a:lt1>
      <a:dk2>
        <a:srgbClr val="E15C3E"/>
      </a:dk2>
      <a:lt2>
        <a:srgbClr val="009597"/>
      </a:lt2>
      <a:accent1>
        <a:srgbClr val="006A4E"/>
      </a:accent1>
      <a:accent2>
        <a:srgbClr val="CCEAEA"/>
      </a:accent2>
      <a:accent3>
        <a:srgbClr val="B2D2CA"/>
      </a:accent3>
      <a:accent4>
        <a:srgbClr val="86BC25"/>
      </a:accent4>
      <a:accent5>
        <a:srgbClr val="009597"/>
      </a:accent5>
      <a:accent6>
        <a:srgbClr val="99D5D5"/>
      </a:accent6>
      <a:hlink>
        <a:srgbClr val="009597"/>
      </a:hlink>
      <a:folHlink>
        <a:srgbClr val="006A4E"/>
      </a:folHlink>
    </a:clrScheme>
    <a:fontScheme name="Personnalisé 54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bg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rtlCol="0">
        <a:spAutoFit/>
      </a:bodyPr>
      <a:lstStyle>
        <a:defPPr algn="l">
          <a:lnSpc>
            <a:spcPct val="106000"/>
          </a:lnSpc>
          <a:spcBef>
            <a:spcPts val="500"/>
          </a:spcBef>
          <a:defRPr sz="130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Thème1" id="{8B383ECF-F684-4004-9D5F-2A01DA095B0E}" vid="{D5E4AC53-8E29-42C1-B795-237930C0212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C33B-319B-433D-AADB-4E276EA6F700}">
  <sheetPr>
    <tabColor rgb="FFFFC000"/>
  </sheetPr>
  <dimension ref="A2:AD57"/>
  <sheetViews>
    <sheetView showGridLines="0" zoomScaleNormal="100" workbookViewId="0">
      <pane xSplit="3" ySplit="10" topLeftCell="D35" activePane="bottomRight" state="frozen"/>
      <selection pane="topRight" activeCell="D1" sqref="D1"/>
      <selection pane="bottomLeft" activeCell="A11" sqref="A11"/>
      <selection pane="bottomRight" activeCell="D1" sqref="D1:D1048576"/>
    </sheetView>
  </sheetViews>
  <sheetFormatPr defaultColWidth="10.375" defaultRowHeight="14.25"/>
  <cols>
    <col min="1" max="1" width="13.375" style="34" customWidth="1"/>
    <col min="2" max="2" width="15.25" style="34" hidden="1" customWidth="1"/>
    <col min="3" max="3" width="41.75" style="34" customWidth="1"/>
    <col min="4" max="5" width="10.375" style="36" hidden="1" customWidth="1"/>
    <col min="6" max="6" width="10.375" style="37" hidden="1" customWidth="1"/>
    <col min="7" max="7" width="12.75" style="34" hidden="1" customWidth="1"/>
    <col min="8" max="14" width="10.375" style="34" hidden="1" customWidth="1"/>
    <col min="15" max="15" width="12.5" style="34" hidden="1" customWidth="1"/>
    <col min="16" max="24" width="10.375" style="34" hidden="1" customWidth="1"/>
    <col min="25" max="30" width="10.5" style="34" bestFit="1" customWidth="1"/>
    <col min="31" max="16384" width="10.375" style="34"/>
  </cols>
  <sheetData>
    <row r="2" spans="2:30">
      <c r="C2" s="35" t="s">
        <v>73</v>
      </c>
      <c r="D2" s="38" t="s">
        <v>18</v>
      </c>
      <c r="E2" s="1">
        <v>4000</v>
      </c>
    </row>
    <row r="5" spans="2:30" ht="15" thickBot="1"/>
    <row r="6" spans="2:30" ht="39.6" customHeight="1" thickBot="1">
      <c r="H6" s="133" t="s">
        <v>19</v>
      </c>
      <c r="I6" s="134"/>
      <c r="J6" s="134"/>
      <c r="K6" s="134"/>
      <c r="L6" s="134"/>
      <c r="M6" s="135"/>
      <c r="N6" s="136" t="s">
        <v>20</v>
      </c>
      <c r="O6" s="137"/>
      <c r="P6" s="137"/>
      <c r="Q6" s="137"/>
      <c r="R6" s="137"/>
      <c r="S6" s="138"/>
    </row>
    <row r="7" spans="2:30" ht="23.25">
      <c r="E7" s="117"/>
      <c r="F7" s="117"/>
      <c r="G7" s="117"/>
      <c r="H7" s="132" t="s">
        <v>72</v>
      </c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1" t="s">
        <v>71</v>
      </c>
      <c r="Z7" s="131"/>
      <c r="AA7" s="131"/>
      <c r="AB7" s="131"/>
      <c r="AC7" s="131"/>
      <c r="AD7" s="131"/>
    </row>
    <row r="8" spans="2:30" ht="25.15" customHeight="1">
      <c r="C8" s="2"/>
      <c r="D8" s="9"/>
      <c r="E8" s="9"/>
      <c r="F8" s="10"/>
      <c r="G8" s="2"/>
      <c r="H8" s="40" t="s">
        <v>2</v>
      </c>
      <c r="I8" s="4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31.9" customHeight="1">
      <c r="C9" s="2"/>
      <c r="D9" s="3" t="s">
        <v>21</v>
      </c>
      <c r="E9" s="4" t="s">
        <v>22</v>
      </c>
      <c r="F9" s="4" t="s">
        <v>22</v>
      </c>
      <c r="G9" s="5" t="s">
        <v>23</v>
      </c>
      <c r="H9" s="6" t="s">
        <v>24</v>
      </c>
      <c r="I9" s="6" t="s">
        <v>25</v>
      </c>
      <c r="J9" s="6" t="s">
        <v>3</v>
      </c>
      <c r="K9" s="6" t="s">
        <v>4</v>
      </c>
      <c r="L9" s="6" t="s">
        <v>5</v>
      </c>
      <c r="M9" s="6" t="s">
        <v>6</v>
      </c>
      <c r="N9" s="7" t="s">
        <v>24</v>
      </c>
      <c r="O9" s="7" t="s">
        <v>25</v>
      </c>
      <c r="P9" s="7" t="s">
        <v>3</v>
      </c>
      <c r="Q9" s="7" t="s">
        <v>4</v>
      </c>
      <c r="R9" s="7" t="s">
        <v>5</v>
      </c>
      <c r="S9" s="7" t="s">
        <v>6</v>
      </c>
      <c r="T9" s="8" t="s">
        <v>2</v>
      </c>
      <c r="U9" s="8" t="s">
        <v>3</v>
      </c>
      <c r="V9" s="8" t="s">
        <v>4</v>
      </c>
      <c r="W9" s="8" t="s">
        <v>5</v>
      </c>
      <c r="X9" s="8" t="s">
        <v>6</v>
      </c>
      <c r="Y9" s="7" t="s">
        <v>24</v>
      </c>
      <c r="Z9" s="7" t="s">
        <v>25</v>
      </c>
      <c r="AA9" s="7" t="s">
        <v>3</v>
      </c>
      <c r="AB9" s="7" t="s">
        <v>4</v>
      </c>
      <c r="AC9" s="7" t="s">
        <v>5</v>
      </c>
      <c r="AD9" s="7" t="s">
        <v>6</v>
      </c>
    </row>
    <row r="10" spans="2:30" ht="4.9000000000000004" customHeight="1">
      <c r="C10" s="2"/>
      <c r="D10" s="9"/>
      <c r="E10" s="9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ht="25.15" customHeight="1">
      <c r="C11" s="11" t="s">
        <v>26</v>
      </c>
      <c r="D11" s="9"/>
      <c r="E11" s="12"/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2:30" ht="25.15" customHeight="1">
      <c r="B12" s="34" t="s">
        <v>26</v>
      </c>
      <c r="C12" s="14" t="s">
        <v>27</v>
      </c>
      <c r="D12" s="9" t="s">
        <v>28</v>
      </c>
      <c r="E12" s="15">
        <v>100000</v>
      </c>
      <c r="F12" s="15">
        <f t="shared" ref="F12:F17" si="0">E12</f>
        <v>100000</v>
      </c>
      <c r="G12" s="116">
        <v>0</v>
      </c>
      <c r="H12" s="16">
        <f>Y12</f>
        <v>0</v>
      </c>
      <c r="I12" s="16">
        <f>Z12</f>
        <v>0</v>
      </c>
      <c r="J12" s="16">
        <f>AA12</f>
        <v>1</v>
      </c>
      <c r="K12" s="16">
        <f>AB12</f>
        <v>0</v>
      </c>
      <c r="L12" s="16">
        <f>AC12-AB12</f>
        <v>0</v>
      </c>
      <c r="M12" s="16">
        <f>AD12-AC12</f>
        <v>0</v>
      </c>
      <c r="N12" s="17">
        <f t="shared" ref="N12:N17" si="1">G12*H12</f>
        <v>0</v>
      </c>
      <c r="O12" s="17">
        <f>$G12*I12</f>
        <v>0</v>
      </c>
      <c r="P12" s="17">
        <f>J12*F12</f>
        <v>100000</v>
      </c>
      <c r="Q12" s="17">
        <f>$G12*K12</f>
        <v>0</v>
      </c>
      <c r="R12" s="17">
        <f>$G12*L12</f>
        <v>0</v>
      </c>
      <c r="S12" s="17">
        <f>$G12*M12</f>
        <v>0</v>
      </c>
      <c r="T12" s="18">
        <f t="shared" ref="T12:T17" si="2">N12+O12</f>
        <v>0</v>
      </c>
      <c r="U12" s="18">
        <f t="shared" ref="U12:X17" si="3">P12</f>
        <v>100000</v>
      </c>
      <c r="V12" s="18">
        <f t="shared" si="3"/>
        <v>0</v>
      </c>
      <c r="W12" s="18">
        <f t="shared" si="3"/>
        <v>0</v>
      </c>
      <c r="X12" s="18">
        <f t="shared" si="3"/>
        <v>0</v>
      </c>
      <c r="Y12" s="42">
        <v>0</v>
      </c>
      <c r="Z12" s="42">
        <v>0</v>
      </c>
      <c r="AA12" s="42">
        <v>1</v>
      </c>
      <c r="AB12" s="42">
        <v>0</v>
      </c>
      <c r="AC12" s="42">
        <v>0</v>
      </c>
      <c r="AD12" s="42">
        <v>0</v>
      </c>
    </row>
    <row r="13" spans="2:30" ht="25.15" customHeight="1">
      <c r="C13" s="14" t="s">
        <v>29</v>
      </c>
      <c r="D13" s="9" t="s">
        <v>23</v>
      </c>
      <c r="E13" s="19"/>
      <c r="F13" s="19">
        <f t="shared" si="0"/>
        <v>0</v>
      </c>
      <c r="G13" s="116">
        <v>453.95</v>
      </c>
      <c r="H13" s="20">
        <f t="shared" ref="H13:K17" si="4">Y13</f>
        <v>1</v>
      </c>
      <c r="I13" s="20">
        <f t="shared" si="4"/>
        <v>2</v>
      </c>
      <c r="J13" s="16">
        <f t="shared" si="4"/>
        <v>1</v>
      </c>
      <c r="K13" s="16">
        <f t="shared" si="4"/>
        <v>1</v>
      </c>
      <c r="L13" s="16">
        <f t="shared" ref="L13:M17" si="5">AC13-AB13</f>
        <v>0</v>
      </c>
      <c r="M13" s="16">
        <f t="shared" si="5"/>
        <v>1</v>
      </c>
      <c r="N13" s="21">
        <f t="shared" si="1"/>
        <v>453.95</v>
      </c>
      <c r="O13" s="21">
        <f>G13*I13</f>
        <v>907.9</v>
      </c>
      <c r="P13" s="17">
        <f t="shared" ref="P13:S14" si="6">J13*$G13</f>
        <v>453.95</v>
      </c>
      <c r="Q13" s="17">
        <f t="shared" si="6"/>
        <v>453.95</v>
      </c>
      <c r="R13" s="17">
        <f t="shared" si="6"/>
        <v>0</v>
      </c>
      <c r="S13" s="17">
        <f t="shared" si="6"/>
        <v>453.95</v>
      </c>
      <c r="T13" s="22">
        <f t="shared" si="2"/>
        <v>1361.85</v>
      </c>
      <c r="U13" s="18">
        <f t="shared" si="3"/>
        <v>453.95</v>
      </c>
      <c r="V13" s="18">
        <f t="shared" si="3"/>
        <v>453.95</v>
      </c>
      <c r="W13" s="18">
        <f t="shared" si="3"/>
        <v>0</v>
      </c>
      <c r="X13" s="18">
        <f t="shared" si="3"/>
        <v>453.95</v>
      </c>
      <c r="Y13" s="43">
        <v>1</v>
      </c>
      <c r="Z13" s="43">
        <v>2</v>
      </c>
      <c r="AA13" s="42">
        <v>1</v>
      </c>
      <c r="AB13" s="42">
        <v>1</v>
      </c>
      <c r="AC13" s="42">
        <v>1</v>
      </c>
      <c r="AD13" s="42">
        <v>2</v>
      </c>
    </row>
    <row r="14" spans="2:30" ht="25.15" customHeight="1">
      <c r="B14" s="34" t="s">
        <v>26</v>
      </c>
      <c r="C14" s="14" t="s">
        <v>30</v>
      </c>
      <c r="D14" s="9" t="s">
        <v>23</v>
      </c>
      <c r="E14" s="19"/>
      <c r="F14" s="19">
        <f t="shared" si="0"/>
        <v>0</v>
      </c>
      <c r="G14" s="116">
        <v>453.95</v>
      </c>
      <c r="H14" s="20">
        <f t="shared" si="4"/>
        <v>0.8</v>
      </c>
      <c r="I14" s="20">
        <f t="shared" si="4"/>
        <v>2.2000000000000002</v>
      </c>
      <c r="J14" s="20">
        <f t="shared" si="4"/>
        <v>0</v>
      </c>
      <c r="K14" s="20">
        <f t="shared" si="4"/>
        <v>0.8</v>
      </c>
      <c r="L14" s="20">
        <f t="shared" si="5"/>
        <v>0</v>
      </c>
      <c r="M14" s="20">
        <f t="shared" si="5"/>
        <v>1</v>
      </c>
      <c r="N14" s="21">
        <f t="shared" si="1"/>
        <v>363.16</v>
      </c>
      <c r="O14" s="21">
        <f>G14*I14</f>
        <v>998.69</v>
      </c>
      <c r="P14" s="17">
        <f t="shared" si="6"/>
        <v>0</v>
      </c>
      <c r="Q14" s="21">
        <f t="shared" si="6"/>
        <v>363.16</v>
      </c>
      <c r="R14" s="21">
        <f t="shared" si="6"/>
        <v>0</v>
      </c>
      <c r="S14" s="21">
        <f t="shared" si="6"/>
        <v>453.95</v>
      </c>
      <c r="T14" s="22">
        <f t="shared" si="2"/>
        <v>1361.8500000000001</v>
      </c>
      <c r="U14" s="22">
        <f t="shared" si="3"/>
        <v>0</v>
      </c>
      <c r="V14" s="22">
        <f t="shared" si="3"/>
        <v>363.16</v>
      </c>
      <c r="W14" s="22">
        <f t="shared" si="3"/>
        <v>0</v>
      </c>
      <c r="X14" s="22">
        <f t="shared" si="3"/>
        <v>453.95</v>
      </c>
      <c r="Y14" s="43">
        <v>0.8</v>
      </c>
      <c r="Z14" s="43">
        <v>2.2000000000000002</v>
      </c>
      <c r="AA14" s="43">
        <v>0</v>
      </c>
      <c r="AB14" s="43">
        <v>0.8</v>
      </c>
      <c r="AC14" s="43">
        <v>0.8</v>
      </c>
      <c r="AD14" s="43">
        <v>1.8</v>
      </c>
    </row>
    <row r="15" spans="2:30" ht="25.15" customHeight="1">
      <c r="B15" s="34" t="s">
        <v>26</v>
      </c>
      <c r="C15" s="14" t="s">
        <v>31</v>
      </c>
      <c r="D15" s="9" t="s">
        <v>18</v>
      </c>
      <c r="E15" s="23"/>
      <c r="F15" s="23">
        <f t="shared" si="0"/>
        <v>0</v>
      </c>
      <c r="G15" s="114">
        <v>0</v>
      </c>
      <c r="H15" s="24">
        <f t="shared" si="4"/>
        <v>0</v>
      </c>
      <c r="I15" s="24">
        <f t="shared" si="4"/>
        <v>0</v>
      </c>
      <c r="J15" s="24">
        <f t="shared" si="4"/>
        <v>0.03</v>
      </c>
      <c r="K15" s="24">
        <f t="shared" si="4"/>
        <v>0</v>
      </c>
      <c r="L15" s="25">
        <f t="shared" si="5"/>
        <v>1E-3</v>
      </c>
      <c r="M15" s="25">
        <f t="shared" si="5"/>
        <v>5.0000000000000001E-3</v>
      </c>
      <c r="N15" s="26">
        <f t="shared" si="1"/>
        <v>0</v>
      </c>
      <c r="O15" s="26">
        <f>G15*I15</f>
        <v>0</v>
      </c>
      <c r="P15" s="17">
        <f t="shared" ref="P15:S17" si="7">J15*PMSS</f>
        <v>120</v>
      </c>
      <c r="Q15" s="26">
        <f t="shared" si="7"/>
        <v>0</v>
      </c>
      <c r="R15" s="26">
        <f t="shared" si="7"/>
        <v>4</v>
      </c>
      <c r="S15" s="26">
        <f t="shared" si="7"/>
        <v>20</v>
      </c>
      <c r="T15" s="27">
        <f t="shared" si="2"/>
        <v>0</v>
      </c>
      <c r="U15" s="27">
        <f t="shared" si="3"/>
        <v>120</v>
      </c>
      <c r="V15" s="27">
        <f t="shared" si="3"/>
        <v>0</v>
      </c>
      <c r="W15" s="27">
        <f t="shared" si="3"/>
        <v>4</v>
      </c>
      <c r="X15" s="27">
        <f t="shared" si="3"/>
        <v>20</v>
      </c>
      <c r="Y15" s="44">
        <v>0</v>
      </c>
      <c r="Z15" s="44">
        <v>0</v>
      </c>
      <c r="AA15" s="44">
        <v>0.03</v>
      </c>
      <c r="AB15" s="44">
        <v>0</v>
      </c>
      <c r="AC15" s="45">
        <v>1E-3</v>
      </c>
      <c r="AD15" s="45">
        <v>6.0000000000000001E-3</v>
      </c>
    </row>
    <row r="16" spans="2:30" ht="25.15" customHeight="1">
      <c r="B16" s="34" t="s">
        <v>26</v>
      </c>
      <c r="C16" s="14" t="s">
        <v>32</v>
      </c>
      <c r="D16" s="9" t="s">
        <v>18</v>
      </c>
      <c r="E16" s="23"/>
      <c r="F16" s="23">
        <f t="shared" si="0"/>
        <v>0</v>
      </c>
      <c r="G16" s="114">
        <v>0</v>
      </c>
      <c r="H16" s="24">
        <f t="shared" si="4"/>
        <v>0</v>
      </c>
      <c r="I16" s="24">
        <f t="shared" si="4"/>
        <v>0</v>
      </c>
      <c r="J16" s="25">
        <f t="shared" si="4"/>
        <v>1.12E-2</v>
      </c>
      <c r="K16" s="25">
        <f t="shared" si="4"/>
        <v>1.2999999999999999E-3</v>
      </c>
      <c r="L16" s="25">
        <f t="shared" si="5"/>
        <v>1.2500000000000001E-2</v>
      </c>
      <c r="M16" s="25">
        <f t="shared" si="5"/>
        <v>6.0000000000000019E-3</v>
      </c>
      <c r="N16" s="26">
        <f t="shared" si="1"/>
        <v>0</v>
      </c>
      <c r="O16" s="26">
        <f>G16*I16</f>
        <v>0</v>
      </c>
      <c r="P16" s="17">
        <f t="shared" si="7"/>
        <v>44.8</v>
      </c>
      <c r="Q16" s="26">
        <f t="shared" si="7"/>
        <v>5.2</v>
      </c>
      <c r="R16" s="26">
        <f t="shared" si="7"/>
        <v>50</v>
      </c>
      <c r="S16" s="26">
        <f t="shared" si="7"/>
        <v>24.000000000000007</v>
      </c>
      <c r="T16" s="27">
        <f t="shared" si="2"/>
        <v>0</v>
      </c>
      <c r="U16" s="27">
        <f t="shared" si="3"/>
        <v>44.8</v>
      </c>
      <c r="V16" s="27">
        <f t="shared" si="3"/>
        <v>5.2</v>
      </c>
      <c r="W16" s="27">
        <f t="shared" si="3"/>
        <v>50</v>
      </c>
      <c r="X16" s="27">
        <f t="shared" si="3"/>
        <v>24.000000000000007</v>
      </c>
      <c r="Y16" s="44">
        <v>0</v>
      </c>
      <c r="Z16" s="44">
        <v>0</v>
      </c>
      <c r="AA16" s="45">
        <v>1.12E-2</v>
      </c>
      <c r="AB16" s="45">
        <v>1.2999999999999999E-3</v>
      </c>
      <c r="AC16" s="45">
        <v>1.38E-2</v>
      </c>
      <c r="AD16" s="45">
        <v>1.9800000000000002E-2</v>
      </c>
    </row>
    <row r="17" spans="1:30" ht="25.15" customHeight="1">
      <c r="B17" s="34" t="s">
        <v>26</v>
      </c>
      <c r="C17" s="14" t="s">
        <v>33</v>
      </c>
      <c r="D17" s="9" t="s">
        <v>18</v>
      </c>
      <c r="E17" s="23"/>
      <c r="F17" s="23">
        <f t="shared" si="0"/>
        <v>0</v>
      </c>
      <c r="G17" s="116">
        <v>0</v>
      </c>
      <c r="H17" s="24">
        <f t="shared" si="4"/>
        <v>0</v>
      </c>
      <c r="I17" s="24">
        <f t="shared" si="4"/>
        <v>0</v>
      </c>
      <c r="J17" s="24">
        <f t="shared" si="4"/>
        <v>0.01</v>
      </c>
      <c r="K17" s="25">
        <f t="shared" si="4"/>
        <v>2.5000000000000001E-3</v>
      </c>
      <c r="L17" s="25">
        <f t="shared" si="5"/>
        <v>1.2499999999999999E-2</v>
      </c>
      <c r="M17" s="25">
        <f t="shared" si="5"/>
        <v>5.000000000000001E-3</v>
      </c>
      <c r="N17" s="26">
        <f t="shared" si="1"/>
        <v>0</v>
      </c>
      <c r="O17" s="26">
        <f>G17*I17</f>
        <v>0</v>
      </c>
      <c r="P17" s="17">
        <f t="shared" si="7"/>
        <v>40</v>
      </c>
      <c r="Q17" s="26">
        <f t="shared" si="7"/>
        <v>10</v>
      </c>
      <c r="R17" s="26">
        <f t="shared" si="7"/>
        <v>49.999999999999993</v>
      </c>
      <c r="S17" s="26">
        <f t="shared" si="7"/>
        <v>20.000000000000004</v>
      </c>
      <c r="T17" s="27">
        <f t="shared" si="2"/>
        <v>0</v>
      </c>
      <c r="U17" s="27">
        <f t="shared" si="3"/>
        <v>40</v>
      </c>
      <c r="V17" s="27">
        <f t="shared" si="3"/>
        <v>10</v>
      </c>
      <c r="W17" s="27">
        <f t="shared" si="3"/>
        <v>49.999999999999993</v>
      </c>
      <c r="X17" s="27">
        <f t="shared" si="3"/>
        <v>20.000000000000004</v>
      </c>
      <c r="Y17" s="44">
        <v>0</v>
      </c>
      <c r="Z17" s="44">
        <v>0</v>
      </c>
      <c r="AA17" s="44">
        <v>0.01</v>
      </c>
      <c r="AB17" s="45">
        <v>2.5000000000000001E-3</v>
      </c>
      <c r="AC17" s="45">
        <v>1.4999999999999999E-2</v>
      </c>
      <c r="AD17" s="45">
        <v>0.02</v>
      </c>
    </row>
    <row r="18" spans="1:30" ht="25.15" customHeight="1">
      <c r="B18" s="34" t="s">
        <v>26</v>
      </c>
      <c r="C18" s="14"/>
      <c r="D18" s="9"/>
      <c r="E18" s="19"/>
      <c r="F18" s="19"/>
      <c r="G18" s="116"/>
      <c r="H18" s="20"/>
      <c r="I18" s="20"/>
      <c r="J18" s="20"/>
      <c r="K18" s="20"/>
      <c r="L18" s="20"/>
      <c r="M18" s="20"/>
      <c r="N18" s="21"/>
      <c r="O18" s="21"/>
      <c r="P18" s="17"/>
      <c r="Q18" s="21"/>
      <c r="R18" s="21"/>
      <c r="S18" s="21"/>
      <c r="T18" s="22"/>
      <c r="U18" s="22"/>
      <c r="V18" s="22"/>
      <c r="W18" s="22"/>
      <c r="X18" s="22"/>
      <c r="Y18" s="43"/>
      <c r="Z18" s="43"/>
      <c r="AA18" s="43"/>
      <c r="AB18" s="43"/>
      <c r="AC18" s="43"/>
      <c r="AD18" s="43"/>
    </row>
    <row r="19" spans="1:30" ht="25.15" customHeight="1">
      <c r="C19" s="11" t="s">
        <v>1</v>
      </c>
      <c r="D19" s="9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25.15" customHeight="1">
      <c r="B20" s="34" t="s">
        <v>1</v>
      </c>
      <c r="C20" s="14" t="s">
        <v>34</v>
      </c>
      <c r="D20" s="9" t="s">
        <v>23</v>
      </c>
      <c r="E20" s="28"/>
      <c r="F20" s="28">
        <f t="shared" ref="F20:F27" si="8">E20</f>
        <v>0</v>
      </c>
      <c r="G20" s="116">
        <v>30</v>
      </c>
      <c r="H20" s="16">
        <f t="shared" ref="H20:K27" si="9">Y20</f>
        <v>0.7</v>
      </c>
      <c r="I20" s="16">
        <f t="shared" si="9"/>
        <v>0.5</v>
      </c>
      <c r="J20" s="16">
        <f t="shared" si="9"/>
        <v>0.6</v>
      </c>
      <c r="K20" s="16">
        <f t="shared" si="9"/>
        <v>0.4</v>
      </c>
      <c r="L20" s="16">
        <f t="shared" ref="L20:M27" si="10">AC20-AB20</f>
        <v>0.6</v>
      </c>
      <c r="M20" s="16">
        <f t="shared" si="10"/>
        <v>0.89999999999999991</v>
      </c>
      <c r="N20" s="17">
        <f t="shared" ref="N20:N27" si="11">G20*H20</f>
        <v>21</v>
      </c>
      <c r="O20" s="17">
        <f t="shared" ref="O20:O27" si="12">G20*I20</f>
        <v>15</v>
      </c>
      <c r="P20" s="17">
        <f t="shared" ref="P20:S27" si="13">J20*$G20</f>
        <v>18</v>
      </c>
      <c r="Q20" s="17">
        <f t="shared" si="13"/>
        <v>12</v>
      </c>
      <c r="R20" s="17">
        <f t="shared" si="13"/>
        <v>18</v>
      </c>
      <c r="S20" s="17">
        <f t="shared" si="13"/>
        <v>26.999999999999996</v>
      </c>
      <c r="T20" s="18">
        <f t="shared" ref="T20:T27" si="14">N20+O20</f>
        <v>36</v>
      </c>
      <c r="U20" s="18">
        <f t="shared" ref="U20:X56" si="15">P20</f>
        <v>18</v>
      </c>
      <c r="V20" s="18">
        <f t="shared" si="15"/>
        <v>12</v>
      </c>
      <c r="W20" s="18">
        <f t="shared" si="15"/>
        <v>18</v>
      </c>
      <c r="X20" s="18">
        <f t="shared" si="15"/>
        <v>26.999999999999996</v>
      </c>
      <c r="Y20" s="42">
        <v>0.7</v>
      </c>
      <c r="Z20" s="42">
        <v>0.5</v>
      </c>
      <c r="AA20" s="42">
        <v>0.6</v>
      </c>
      <c r="AB20" s="42">
        <v>0.4</v>
      </c>
      <c r="AC20" s="42">
        <v>1</v>
      </c>
      <c r="AD20" s="42">
        <v>1.9</v>
      </c>
    </row>
    <row r="21" spans="1:30" ht="25.15" customHeight="1">
      <c r="B21" s="34" t="s">
        <v>1</v>
      </c>
      <c r="C21" s="14" t="s">
        <v>35</v>
      </c>
      <c r="D21" s="9" t="s">
        <v>23</v>
      </c>
      <c r="E21" s="19"/>
      <c r="F21" s="19">
        <f t="shared" si="8"/>
        <v>0</v>
      </c>
      <c r="G21" s="115">
        <v>23</v>
      </c>
      <c r="H21" s="20">
        <f t="shared" si="9"/>
        <v>0.7</v>
      </c>
      <c r="I21" s="16">
        <f t="shared" si="9"/>
        <v>0.5</v>
      </c>
      <c r="J21" s="20">
        <f t="shared" si="9"/>
        <v>0.4</v>
      </c>
      <c r="K21" s="20">
        <f t="shared" si="9"/>
        <v>0.4</v>
      </c>
      <c r="L21" s="20">
        <f t="shared" si="10"/>
        <v>0.6</v>
      </c>
      <c r="M21" s="20">
        <f t="shared" si="10"/>
        <v>1.1000000000000001</v>
      </c>
      <c r="N21" s="21">
        <f t="shared" si="11"/>
        <v>16.099999999999998</v>
      </c>
      <c r="O21" s="17">
        <f t="shared" si="12"/>
        <v>11.5</v>
      </c>
      <c r="P21" s="17">
        <f t="shared" si="13"/>
        <v>9.2000000000000011</v>
      </c>
      <c r="Q21" s="21">
        <f t="shared" si="13"/>
        <v>9.2000000000000011</v>
      </c>
      <c r="R21" s="21">
        <f t="shared" si="13"/>
        <v>13.799999999999999</v>
      </c>
      <c r="S21" s="21">
        <f t="shared" si="13"/>
        <v>25.3</v>
      </c>
      <c r="T21" s="22">
        <f t="shared" si="14"/>
        <v>27.599999999999998</v>
      </c>
      <c r="U21" s="22">
        <f t="shared" si="15"/>
        <v>9.2000000000000011</v>
      </c>
      <c r="V21" s="22">
        <f t="shared" si="15"/>
        <v>9.2000000000000011</v>
      </c>
      <c r="W21" s="22">
        <f t="shared" si="15"/>
        <v>13.799999999999999</v>
      </c>
      <c r="X21" s="22">
        <f t="shared" si="15"/>
        <v>25.3</v>
      </c>
      <c r="Y21" s="43">
        <v>0.7</v>
      </c>
      <c r="Z21" s="42">
        <v>0.5</v>
      </c>
      <c r="AA21" s="43">
        <v>0.4</v>
      </c>
      <c r="AB21" s="43">
        <v>0.4</v>
      </c>
      <c r="AC21" s="43">
        <v>1</v>
      </c>
      <c r="AD21" s="43">
        <v>2.1</v>
      </c>
    </row>
    <row r="22" spans="1:30" ht="25.15" customHeight="1">
      <c r="B22" s="34" t="s">
        <v>1</v>
      </c>
      <c r="C22" s="14" t="s">
        <v>36</v>
      </c>
      <c r="D22" s="9" t="s">
        <v>23</v>
      </c>
      <c r="E22" s="19"/>
      <c r="F22" s="19">
        <f t="shared" si="8"/>
        <v>0</v>
      </c>
      <c r="G22" s="115">
        <v>25</v>
      </c>
      <c r="H22" s="20">
        <f t="shared" si="9"/>
        <v>0.7</v>
      </c>
      <c r="I22" s="16">
        <f t="shared" si="9"/>
        <v>0.5</v>
      </c>
      <c r="J22" s="20">
        <f t="shared" si="9"/>
        <v>0.6</v>
      </c>
      <c r="K22" s="16">
        <f t="shared" si="9"/>
        <v>0.4</v>
      </c>
      <c r="L22" s="16">
        <f t="shared" si="10"/>
        <v>0.6</v>
      </c>
      <c r="M22" s="16">
        <f t="shared" si="10"/>
        <v>0.89999999999999991</v>
      </c>
      <c r="N22" s="21">
        <f t="shared" si="11"/>
        <v>17.5</v>
      </c>
      <c r="O22" s="17">
        <f t="shared" si="12"/>
        <v>12.5</v>
      </c>
      <c r="P22" s="17">
        <f t="shared" si="13"/>
        <v>15</v>
      </c>
      <c r="Q22" s="17">
        <f t="shared" si="13"/>
        <v>10</v>
      </c>
      <c r="R22" s="17">
        <f t="shared" si="13"/>
        <v>15</v>
      </c>
      <c r="S22" s="17">
        <f t="shared" si="13"/>
        <v>22.499999999999996</v>
      </c>
      <c r="T22" s="22">
        <f t="shared" si="14"/>
        <v>30</v>
      </c>
      <c r="U22" s="22">
        <f t="shared" si="15"/>
        <v>15</v>
      </c>
      <c r="V22" s="18">
        <f t="shared" si="15"/>
        <v>10</v>
      </c>
      <c r="W22" s="18">
        <f t="shared" si="15"/>
        <v>15</v>
      </c>
      <c r="X22" s="18">
        <f t="shared" si="15"/>
        <v>22.499999999999996</v>
      </c>
      <c r="Y22" s="43">
        <v>0.7</v>
      </c>
      <c r="Z22" s="42">
        <v>0.5</v>
      </c>
      <c r="AA22" s="43">
        <v>0.6</v>
      </c>
      <c r="AB22" s="42">
        <v>0.4</v>
      </c>
      <c r="AC22" s="42">
        <v>1</v>
      </c>
      <c r="AD22" s="42">
        <v>1.9</v>
      </c>
    </row>
    <row r="23" spans="1:30" ht="25.15" customHeight="1">
      <c r="B23" s="34" t="s">
        <v>1</v>
      </c>
      <c r="C23" s="14" t="s">
        <v>37</v>
      </c>
      <c r="D23" s="9" t="s">
        <v>23</v>
      </c>
      <c r="E23" s="19"/>
      <c r="F23" s="19">
        <f t="shared" si="8"/>
        <v>0</v>
      </c>
      <c r="G23" s="115">
        <v>23</v>
      </c>
      <c r="H23" s="20">
        <f t="shared" si="9"/>
        <v>0.7</v>
      </c>
      <c r="I23" s="16">
        <f t="shared" si="9"/>
        <v>0.5</v>
      </c>
      <c r="J23" s="20">
        <f t="shared" si="9"/>
        <v>0.4</v>
      </c>
      <c r="K23" s="20">
        <f t="shared" si="9"/>
        <v>0.4</v>
      </c>
      <c r="L23" s="20">
        <f t="shared" si="10"/>
        <v>0.6</v>
      </c>
      <c r="M23" s="20">
        <f t="shared" si="10"/>
        <v>1.1000000000000001</v>
      </c>
      <c r="N23" s="21">
        <f t="shared" si="11"/>
        <v>16.099999999999998</v>
      </c>
      <c r="O23" s="17">
        <f t="shared" si="12"/>
        <v>11.5</v>
      </c>
      <c r="P23" s="17">
        <f t="shared" si="13"/>
        <v>9.2000000000000011</v>
      </c>
      <c r="Q23" s="21">
        <f t="shared" si="13"/>
        <v>9.2000000000000011</v>
      </c>
      <c r="R23" s="21">
        <f t="shared" si="13"/>
        <v>13.799999999999999</v>
      </c>
      <c r="S23" s="21">
        <f t="shared" si="13"/>
        <v>25.3</v>
      </c>
      <c r="T23" s="22">
        <f t="shared" si="14"/>
        <v>27.599999999999998</v>
      </c>
      <c r="U23" s="22">
        <f t="shared" si="15"/>
        <v>9.2000000000000011</v>
      </c>
      <c r="V23" s="22">
        <f t="shared" si="15"/>
        <v>9.2000000000000011</v>
      </c>
      <c r="W23" s="22">
        <f t="shared" si="15"/>
        <v>13.799999999999999</v>
      </c>
      <c r="X23" s="22">
        <f t="shared" si="15"/>
        <v>25.3</v>
      </c>
      <c r="Y23" s="43">
        <v>0.7</v>
      </c>
      <c r="Z23" s="42">
        <v>0.5</v>
      </c>
      <c r="AA23" s="43">
        <v>0.4</v>
      </c>
      <c r="AB23" s="43">
        <v>0.4</v>
      </c>
      <c r="AC23" s="43">
        <v>1</v>
      </c>
      <c r="AD23" s="43">
        <v>2.1</v>
      </c>
    </row>
    <row r="24" spans="1:30" ht="25.15" customHeight="1">
      <c r="B24" s="34" t="s">
        <v>1</v>
      </c>
      <c r="C24" s="14" t="s">
        <v>38</v>
      </c>
      <c r="D24" s="9" t="s">
        <v>23</v>
      </c>
      <c r="E24" s="19"/>
      <c r="F24" s="19">
        <f t="shared" si="8"/>
        <v>0</v>
      </c>
      <c r="G24" s="116">
        <v>31.5</v>
      </c>
      <c r="H24" s="20">
        <f t="shared" si="9"/>
        <v>0.7</v>
      </c>
      <c r="I24" s="16">
        <f t="shared" si="9"/>
        <v>0.5</v>
      </c>
      <c r="J24" s="20">
        <f t="shared" si="9"/>
        <v>1</v>
      </c>
      <c r="K24" s="20">
        <f t="shared" si="9"/>
        <v>2</v>
      </c>
      <c r="L24" s="20">
        <f t="shared" si="10"/>
        <v>0</v>
      </c>
      <c r="M24" s="20">
        <f t="shared" si="10"/>
        <v>0.5</v>
      </c>
      <c r="N24" s="21">
        <f t="shared" si="11"/>
        <v>22.049999999999997</v>
      </c>
      <c r="O24" s="17">
        <f t="shared" si="12"/>
        <v>15.75</v>
      </c>
      <c r="P24" s="17">
        <f t="shared" si="13"/>
        <v>31.5</v>
      </c>
      <c r="Q24" s="21">
        <f t="shared" si="13"/>
        <v>63</v>
      </c>
      <c r="R24" s="21">
        <f t="shared" si="13"/>
        <v>0</v>
      </c>
      <c r="S24" s="21">
        <f t="shared" si="13"/>
        <v>15.75</v>
      </c>
      <c r="T24" s="22">
        <f t="shared" si="14"/>
        <v>37.799999999999997</v>
      </c>
      <c r="U24" s="22">
        <f t="shared" si="15"/>
        <v>31.5</v>
      </c>
      <c r="V24" s="22">
        <f t="shared" si="15"/>
        <v>63</v>
      </c>
      <c r="W24" s="22">
        <f t="shared" si="15"/>
        <v>0</v>
      </c>
      <c r="X24" s="22">
        <f t="shared" si="15"/>
        <v>15.75</v>
      </c>
      <c r="Y24" s="43">
        <v>0.7</v>
      </c>
      <c r="Z24" s="42">
        <v>0.5</v>
      </c>
      <c r="AA24" s="43">
        <v>1</v>
      </c>
      <c r="AB24" s="43">
        <v>2</v>
      </c>
      <c r="AC24" s="43">
        <v>2</v>
      </c>
      <c r="AD24" s="43">
        <v>2.5</v>
      </c>
    </row>
    <row r="25" spans="1:30" ht="25.15" customHeight="1">
      <c r="B25" s="34" t="s">
        <v>1</v>
      </c>
      <c r="C25" s="14" t="s">
        <v>39</v>
      </c>
      <c r="D25" s="9" t="s">
        <v>23</v>
      </c>
      <c r="E25" s="19"/>
      <c r="F25" s="19">
        <f t="shared" si="8"/>
        <v>0</v>
      </c>
      <c r="G25" s="115">
        <v>23</v>
      </c>
      <c r="H25" s="20">
        <f t="shared" si="9"/>
        <v>0.7</v>
      </c>
      <c r="I25" s="16">
        <f t="shared" si="9"/>
        <v>0.5</v>
      </c>
      <c r="J25" s="20">
        <f t="shared" si="9"/>
        <v>0.8</v>
      </c>
      <c r="K25" s="20">
        <f t="shared" si="9"/>
        <v>2</v>
      </c>
      <c r="L25" s="20">
        <f t="shared" si="10"/>
        <v>0</v>
      </c>
      <c r="M25" s="20">
        <f t="shared" si="10"/>
        <v>0.70000000000000018</v>
      </c>
      <c r="N25" s="21">
        <f t="shared" si="11"/>
        <v>16.099999999999998</v>
      </c>
      <c r="O25" s="17">
        <f t="shared" si="12"/>
        <v>11.5</v>
      </c>
      <c r="P25" s="17">
        <f t="shared" si="13"/>
        <v>18.400000000000002</v>
      </c>
      <c r="Q25" s="21">
        <f t="shared" si="13"/>
        <v>46</v>
      </c>
      <c r="R25" s="21">
        <f t="shared" si="13"/>
        <v>0</v>
      </c>
      <c r="S25" s="21">
        <f t="shared" si="13"/>
        <v>16.100000000000005</v>
      </c>
      <c r="T25" s="22">
        <f t="shared" si="14"/>
        <v>27.599999999999998</v>
      </c>
      <c r="U25" s="22">
        <f t="shared" si="15"/>
        <v>18.400000000000002</v>
      </c>
      <c r="V25" s="22">
        <f t="shared" si="15"/>
        <v>46</v>
      </c>
      <c r="W25" s="22">
        <f t="shared" si="15"/>
        <v>0</v>
      </c>
      <c r="X25" s="22">
        <f t="shared" si="15"/>
        <v>16.100000000000005</v>
      </c>
      <c r="Y25" s="43">
        <v>0.7</v>
      </c>
      <c r="Z25" s="42">
        <v>0.5</v>
      </c>
      <c r="AA25" s="43">
        <v>0.8</v>
      </c>
      <c r="AB25" s="43">
        <v>2</v>
      </c>
      <c r="AC25" s="43">
        <v>2</v>
      </c>
      <c r="AD25" s="43">
        <v>2.7</v>
      </c>
    </row>
    <row r="26" spans="1:30" ht="25.15" customHeight="1">
      <c r="B26" s="34" t="s">
        <v>1</v>
      </c>
      <c r="C26" s="14" t="s">
        <v>40</v>
      </c>
      <c r="D26" s="9" t="s">
        <v>23</v>
      </c>
      <c r="E26" s="19"/>
      <c r="F26" s="19">
        <f t="shared" si="8"/>
        <v>0</v>
      </c>
      <c r="G26" s="115">
        <v>52.5</v>
      </c>
      <c r="H26" s="20">
        <f t="shared" si="9"/>
        <v>0.7</v>
      </c>
      <c r="I26" s="16">
        <f t="shared" si="9"/>
        <v>0.5</v>
      </c>
      <c r="J26" s="20">
        <f t="shared" si="9"/>
        <v>1</v>
      </c>
      <c r="K26" s="20">
        <f t="shared" si="9"/>
        <v>2</v>
      </c>
      <c r="L26" s="20">
        <f t="shared" si="10"/>
        <v>0</v>
      </c>
      <c r="M26" s="20">
        <f t="shared" si="10"/>
        <v>0.5</v>
      </c>
      <c r="N26" s="21">
        <f t="shared" si="11"/>
        <v>36.75</v>
      </c>
      <c r="O26" s="17">
        <f t="shared" si="12"/>
        <v>26.25</v>
      </c>
      <c r="P26" s="17">
        <f t="shared" si="13"/>
        <v>52.5</v>
      </c>
      <c r="Q26" s="21">
        <f t="shared" si="13"/>
        <v>105</v>
      </c>
      <c r="R26" s="21">
        <f t="shared" si="13"/>
        <v>0</v>
      </c>
      <c r="S26" s="21">
        <f t="shared" si="13"/>
        <v>26.25</v>
      </c>
      <c r="T26" s="22">
        <f t="shared" si="14"/>
        <v>63</v>
      </c>
      <c r="U26" s="22">
        <f t="shared" si="15"/>
        <v>52.5</v>
      </c>
      <c r="V26" s="22">
        <f t="shared" si="15"/>
        <v>105</v>
      </c>
      <c r="W26" s="22">
        <f t="shared" si="15"/>
        <v>0</v>
      </c>
      <c r="X26" s="22">
        <f t="shared" si="15"/>
        <v>26.25</v>
      </c>
      <c r="Y26" s="43">
        <v>0.7</v>
      </c>
      <c r="Z26" s="42">
        <v>0.5</v>
      </c>
      <c r="AA26" s="43">
        <v>1</v>
      </c>
      <c r="AB26" s="43">
        <v>2</v>
      </c>
      <c r="AC26" s="43">
        <v>2</v>
      </c>
      <c r="AD26" s="43">
        <v>2.5</v>
      </c>
    </row>
    <row r="27" spans="1:30" ht="25.15" customHeight="1">
      <c r="A27" s="118" t="s">
        <v>76</v>
      </c>
      <c r="B27" s="119" t="s">
        <v>1</v>
      </c>
      <c r="C27" s="14" t="s">
        <v>75</v>
      </c>
      <c r="D27" s="14" t="s">
        <v>23</v>
      </c>
      <c r="E27" s="14"/>
      <c r="F27" s="14">
        <f t="shared" si="8"/>
        <v>0</v>
      </c>
      <c r="G27" s="14">
        <v>67.5</v>
      </c>
      <c r="H27" s="14">
        <f t="shared" si="9"/>
        <v>0.7</v>
      </c>
      <c r="I27" s="14">
        <f t="shared" si="9"/>
        <v>0.5</v>
      </c>
      <c r="J27" s="14">
        <f t="shared" si="9"/>
        <v>0.8</v>
      </c>
      <c r="K27" s="14">
        <f t="shared" si="9"/>
        <v>2</v>
      </c>
      <c r="L27" s="14">
        <f t="shared" si="10"/>
        <v>0</v>
      </c>
      <c r="M27" s="14">
        <f t="shared" si="10"/>
        <v>0.5</v>
      </c>
      <c r="N27" s="14">
        <f t="shared" si="11"/>
        <v>47.25</v>
      </c>
      <c r="O27" s="14">
        <f t="shared" si="12"/>
        <v>33.75</v>
      </c>
      <c r="P27" s="14">
        <f t="shared" si="13"/>
        <v>54</v>
      </c>
      <c r="Q27" s="14">
        <f t="shared" si="13"/>
        <v>135</v>
      </c>
      <c r="R27" s="14">
        <f t="shared" si="13"/>
        <v>0</v>
      </c>
      <c r="S27" s="14">
        <f t="shared" si="13"/>
        <v>33.75</v>
      </c>
      <c r="T27" s="14">
        <f t="shared" si="14"/>
        <v>81</v>
      </c>
      <c r="U27" s="14">
        <f t="shared" si="15"/>
        <v>54</v>
      </c>
      <c r="V27" s="14">
        <f t="shared" si="15"/>
        <v>135</v>
      </c>
      <c r="W27" s="14">
        <f t="shared" si="15"/>
        <v>0</v>
      </c>
      <c r="X27" s="14">
        <f t="shared" si="15"/>
        <v>33.75</v>
      </c>
      <c r="Y27" s="43">
        <v>0.7</v>
      </c>
      <c r="Z27" s="42">
        <v>0.5</v>
      </c>
      <c r="AA27" s="43">
        <v>0.8</v>
      </c>
      <c r="AB27" s="43">
        <v>2</v>
      </c>
      <c r="AC27" s="43">
        <v>2</v>
      </c>
      <c r="AD27" s="43">
        <v>2.5</v>
      </c>
    </row>
    <row r="28" spans="1:30" ht="25.15" customHeight="1">
      <c r="C28" s="11" t="s">
        <v>41</v>
      </c>
      <c r="D28" s="9"/>
      <c r="E28" s="12"/>
      <c r="F28" s="12"/>
      <c r="G28" s="1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</row>
    <row r="29" spans="1:30" ht="25.15" customHeight="1">
      <c r="B29" s="34" t="s">
        <v>41</v>
      </c>
      <c r="C29" s="14" t="s">
        <v>42</v>
      </c>
      <c r="D29" s="9" t="s">
        <v>23</v>
      </c>
      <c r="E29" s="19"/>
      <c r="F29" s="19">
        <f>E29</f>
        <v>0</v>
      </c>
      <c r="G29" s="115">
        <v>1400</v>
      </c>
      <c r="H29" s="20">
        <f t="shared" ref="H29:K30" si="16">Y29</f>
        <v>0.6</v>
      </c>
      <c r="I29" s="20">
        <f t="shared" si="16"/>
        <v>0.61428571428571421</v>
      </c>
      <c r="J29" s="20">
        <f t="shared" si="16"/>
        <v>0</v>
      </c>
      <c r="K29" s="20">
        <f t="shared" si="16"/>
        <v>0</v>
      </c>
      <c r="L29" s="20">
        <f>AC29-AB29</f>
        <v>0</v>
      </c>
      <c r="M29" s="20">
        <f>AD29-AC29</f>
        <v>0</v>
      </c>
      <c r="N29" s="21">
        <f>G29*H29</f>
        <v>840</v>
      </c>
      <c r="O29" s="21">
        <f>G29*I29</f>
        <v>859.99999999999989</v>
      </c>
      <c r="P29" s="17">
        <f t="shared" ref="P29:S30" si="17">J29*$G29</f>
        <v>0</v>
      </c>
      <c r="Q29" s="21">
        <f t="shared" si="17"/>
        <v>0</v>
      </c>
      <c r="R29" s="21">
        <f t="shared" si="17"/>
        <v>0</v>
      </c>
      <c r="S29" s="21">
        <f t="shared" si="17"/>
        <v>0</v>
      </c>
      <c r="T29" s="22">
        <f>N29+O29</f>
        <v>1700</v>
      </c>
      <c r="U29" s="22">
        <f t="shared" si="15"/>
        <v>0</v>
      </c>
      <c r="V29" s="22">
        <f t="shared" si="15"/>
        <v>0</v>
      </c>
      <c r="W29" s="22">
        <f t="shared" si="15"/>
        <v>0</v>
      </c>
      <c r="X29" s="22">
        <f t="shared" si="15"/>
        <v>0</v>
      </c>
      <c r="Y29" s="43">
        <v>0.6</v>
      </c>
      <c r="Z29" s="43">
        <v>0.61428571428571421</v>
      </c>
      <c r="AA29" s="43">
        <v>0</v>
      </c>
      <c r="AB29" s="43">
        <v>0</v>
      </c>
      <c r="AC29" s="43">
        <v>0</v>
      </c>
      <c r="AD29" s="43">
        <v>0</v>
      </c>
    </row>
    <row r="30" spans="1:30" ht="25.15" customHeight="1">
      <c r="B30" s="34" t="s">
        <v>41</v>
      </c>
      <c r="C30" s="14" t="s">
        <v>43</v>
      </c>
      <c r="D30" s="9" t="s">
        <v>23</v>
      </c>
      <c r="E30" s="19"/>
      <c r="F30" s="19">
        <f>E30</f>
        <v>0</v>
      </c>
      <c r="G30" s="115">
        <v>400</v>
      </c>
      <c r="H30" s="20">
        <f t="shared" si="16"/>
        <v>0.6</v>
      </c>
      <c r="I30" s="20">
        <f t="shared" si="16"/>
        <v>3.65</v>
      </c>
      <c r="J30" s="20">
        <f t="shared" si="16"/>
        <v>0</v>
      </c>
      <c r="K30" s="20">
        <f t="shared" si="16"/>
        <v>0</v>
      </c>
      <c r="L30" s="20">
        <f>AC30-AB30</f>
        <v>0</v>
      </c>
      <c r="M30" s="20">
        <f>AD30-AC30</f>
        <v>0</v>
      </c>
      <c r="N30" s="21">
        <f>G30*H30</f>
        <v>240</v>
      </c>
      <c r="O30" s="21">
        <f>G30*I30</f>
        <v>1460</v>
      </c>
      <c r="P30" s="17">
        <f t="shared" si="17"/>
        <v>0</v>
      </c>
      <c r="Q30" s="21">
        <f t="shared" si="17"/>
        <v>0</v>
      </c>
      <c r="R30" s="21">
        <f t="shared" si="17"/>
        <v>0</v>
      </c>
      <c r="S30" s="21">
        <f t="shared" si="17"/>
        <v>0</v>
      </c>
      <c r="T30" s="22">
        <f>N30+O30</f>
        <v>1700</v>
      </c>
      <c r="U30" s="22">
        <f t="shared" si="15"/>
        <v>0</v>
      </c>
      <c r="V30" s="22">
        <f t="shared" si="15"/>
        <v>0</v>
      </c>
      <c r="W30" s="22">
        <f t="shared" si="15"/>
        <v>0</v>
      </c>
      <c r="X30" s="22">
        <f t="shared" si="15"/>
        <v>0</v>
      </c>
      <c r="Y30" s="43">
        <v>0.6</v>
      </c>
      <c r="Z30" s="43">
        <v>3.65</v>
      </c>
      <c r="AA30" s="43">
        <v>0</v>
      </c>
      <c r="AB30" s="43">
        <v>0</v>
      </c>
      <c r="AC30" s="43">
        <v>0</v>
      </c>
      <c r="AD30" s="43">
        <v>0</v>
      </c>
    </row>
    <row r="31" spans="1:30" ht="25.15" customHeight="1">
      <c r="C31" s="11" t="s">
        <v>44</v>
      </c>
      <c r="D31" s="9"/>
      <c r="E31" s="12"/>
      <c r="F31" s="12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25.15" customHeight="1">
      <c r="B32" s="34" t="s">
        <v>44</v>
      </c>
      <c r="C32" s="14" t="s">
        <v>45</v>
      </c>
      <c r="D32" s="9" t="s">
        <v>23</v>
      </c>
      <c r="E32" s="19"/>
      <c r="F32" s="19">
        <f t="shared" ref="F32:F39" si="18">E32</f>
        <v>0</v>
      </c>
      <c r="G32" s="115">
        <v>28.92</v>
      </c>
      <c r="H32" s="20">
        <f t="shared" ref="H32:K39" si="19">Y32</f>
        <v>0.6</v>
      </c>
      <c r="I32" s="20">
        <f t="shared" si="19"/>
        <v>0.6</v>
      </c>
      <c r="J32" s="20">
        <f t="shared" si="19"/>
        <v>1</v>
      </c>
      <c r="K32" s="20">
        <f t="shared" si="19"/>
        <v>0.5</v>
      </c>
      <c r="L32" s="20">
        <f t="shared" ref="L32:M39" si="20">AC32-AB32</f>
        <v>0</v>
      </c>
      <c r="M32" s="20">
        <f t="shared" si="20"/>
        <v>1</v>
      </c>
      <c r="N32" s="21">
        <f t="shared" ref="N32:N39" si="21">G32*H32</f>
        <v>17.352</v>
      </c>
      <c r="O32" s="21">
        <f t="shared" ref="O32:O39" si="22">G32*I32</f>
        <v>17.352</v>
      </c>
      <c r="P32" s="17">
        <f t="shared" ref="P32:S38" si="23">J32*$G32</f>
        <v>28.92</v>
      </c>
      <c r="Q32" s="21">
        <f t="shared" si="23"/>
        <v>14.46</v>
      </c>
      <c r="R32" s="21">
        <f t="shared" si="23"/>
        <v>0</v>
      </c>
      <c r="S32" s="21">
        <f t="shared" si="23"/>
        <v>28.92</v>
      </c>
      <c r="T32" s="22">
        <f t="shared" ref="T32:T39" si="24">N32+O32</f>
        <v>34.704000000000001</v>
      </c>
      <c r="U32" s="22">
        <f t="shared" si="15"/>
        <v>28.92</v>
      </c>
      <c r="V32" s="22">
        <f t="shared" si="15"/>
        <v>14.46</v>
      </c>
      <c r="W32" s="22">
        <f t="shared" si="15"/>
        <v>0</v>
      </c>
      <c r="X32" s="22">
        <f t="shared" si="15"/>
        <v>28.92</v>
      </c>
      <c r="Y32" s="43">
        <v>0.6</v>
      </c>
      <c r="Z32" s="43">
        <v>0.6</v>
      </c>
      <c r="AA32" s="43">
        <v>1</v>
      </c>
      <c r="AB32" s="43">
        <v>0.5</v>
      </c>
      <c r="AC32" s="43">
        <v>0.5</v>
      </c>
      <c r="AD32" s="43">
        <v>1.5</v>
      </c>
    </row>
    <row r="33" spans="1:30" ht="25.15" customHeight="1">
      <c r="B33" s="34" t="s">
        <v>44</v>
      </c>
      <c r="C33" s="14" t="s">
        <v>46</v>
      </c>
      <c r="D33" s="9" t="s">
        <v>23</v>
      </c>
      <c r="E33" s="19"/>
      <c r="F33" s="19">
        <f t="shared" si="18"/>
        <v>0</v>
      </c>
      <c r="G33" s="115">
        <v>100</v>
      </c>
      <c r="H33" s="20">
        <f t="shared" si="19"/>
        <v>0.6</v>
      </c>
      <c r="I33" s="20">
        <f t="shared" si="19"/>
        <v>0.6</v>
      </c>
      <c r="J33" s="20">
        <f t="shared" si="19"/>
        <v>2.2999999999999998</v>
      </c>
      <c r="K33" s="20">
        <f t="shared" si="19"/>
        <v>0</v>
      </c>
      <c r="L33" s="20">
        <f t="shared" si="20"/>
        <v>0</v>
      </c>
      <c r="M33" s="20">
        <f t="shared" si="20"/>
        <v>0.2</v>
      </c>
      <c r="N33" s="21">
        <f t="shared" si="21"/>
        <v>60</v>
      </c>
      <c r="O33" s="21">
        <f t="shared" si="22"/>
        <v>60</v>
      </c>
      <c r="P33" s="17">
        <f t="shared" si="23"/>
        <v>229.99999999999997</v>
      </c>
      <c r="Q33" s="21">
        <f t="shared" si="23"/>
        <v>0</v>
      </c>
      <c r="R33" s="21">
        <f t="shared" si="23"/>
        <v>0</v>
      </c>
      <c r="S33" s="21">
        <f t="shared" si="23"/>
        <v>20</v>
      </c>
      <c r="T33" s="22">
        <f t="shared" si="24"/>
        <v>120</v>
      </c>
      <c r="U33" s="22">
        <f t="shared" si="15"/>
        <v>229.99999999999997</v>
      </c>
      <c r="V33" s="22">
        <f t="shared" si="15"/>
        <v>0</v>
      </c>
      <c r="W33" s="22">
        <f t="shared" si="15"/>
        <v>0</v>
      </c>
      <c r="X33" s="22">
        <f t="shared" si="15"/>
        <v>20</v>
      </c>
      <c r="Y33" s="43">
        <v>0.6</v>
      </c>
      <c r="Z33" s="43">
        <v>0.6</v>
      </c>
      <c r="AA33" s="43">
        <v>2.2999999999999998</v>
      </c>
      <c r="AB33" s="43">
        <v>0</v>
      </c>
      <c r="AC33" s="43">
        <v>0</v>
      </c>
      <c r="AD33" s="43">
        <v>0.2</v>
      </c>
    </row>
    <row r="34" spans="1:30" ht="25.15" customHeight="1">
      <c r="B34" s="34" t="s">
        <v>44</v>
      </c>
      <c r="C34" s="14" t="s">
        <v>47</v>
      </c>
      <c r="D34" s="9" t="s">
        <v>23</v>
      </c>
      <c r="E34" s="19"/>
      <c r="F34" s="19">
        <f t="shared" si="18"/>
        <v>0</v>
      </c>
      <c r="G34" s="115">
        <v>120</v>
      </c>
      <c r="H34" s="20">
        <f t="shared" si="19"/>
        <v>0.6</v>
      </c>
      <c r="I34" s="20">
        <f t="shared" si="19"/>
        <v>4.3499999999999996</v>
      </c>
      <c r="J34" s="20">
        <f t="shared" si="19"/>
        <v>1.5</v>
      </c>
      <c r="K34" s="20">
        <f t="shared" si="19"/>
        <v>0</v>
      </c>
      <c r="L34" s="29">
        <f t="shared" si="20"/>
        <v>0.5</v>
      </c>
      <c r="M34" s="20">
        <f t="shared" si="20"/>
        <v>1</v>
      </c>
      <c r="N34" s="21">
        <f t="shared" si="21"/>
        <v>72</v>
      </c>
      <c r="O34" s="21">
        <f t="shared" si="22"/>
        <v>522</v>
      </c>
      <c r="P34" s="17">
        <f t="shared" si="23"/>
        <v>180</v>
      </c>
      <c r="Q34" s="21">
        <f t="shared" si="23"/>
        <v>0</v>
      </c>
      <c r="R34" s="21">
        <f t="shared" si="23"/>
        <v>60</v>
      </c>
      <c r="S34" s="21">
        <f t="shared" si="23"/>
        <v>120</v>
      </c>
      <c r="T34" s="22">
        <f t="shared" si="24"/>
        <v>594</v>
      </c>
      <c r="U34" s="22">
        <f t="shared" si="15"/>
        <v>180</v>
      </c>
      <c r="V34" s="22">
        <f t="shared" si="15"/>
        <v>0</v>
      </c>
      <c r="W34" s="22">
        <f t="shared" si="15"/>
        <v>60</v>
      </c>
      <c r="X34" s="22">
        <f t="shared" si="15"/>
        <v>120</v>
      </c>
      <c r="Y34" s="43">
        <v>0.6</v>
      </c>
      <c r="Z34" s="43">
        <v>4.3499999999999996</v>
      </c>
      <c r="AA34" s="43">
        <v>1.5</v>
      </c>
      <c r="AB34" s="43">
        <v>0</v>
      </c>
      <c r="AC34" s="46">
        <v>0.5</v>
      </c>
      <c r="AD34" s="43">
        <v>1.5</v>
      </c>
    </row>
    <row r="35" spans="1:30" ht="25.15" customHeight="1">
      <c r="B35" s="34" t="s">
        <v>44</v>
      </c>
      <c r="C35" s="14" t="s">
        <v>48</v>
      </c>
      <c r="D35" s="9" t="s">
        <v>18</v>
      </c>
      <c r="E35" s="19"/>
      <c r="F35" s="19">
        <f>E35</f>
        <v>0</v>
      </c>
      <c r="G35" s="115">
        <v>0</v>
      </c>
      <c r="H35" s="20">
        <f t="shared" si="19"/>
        <v>0</v>
      </c>
      <c r="I35" s="20">
        <f t="shared" si="19"/>
        <v>0</v>
      </c>
      <c r="J35" s="20">
        <f t="shared" si="19"/>
        <v>0.2</v>
      </c>
      <c r="K35" s="20">
        <f t="shared" si="19"/>
        <v>0</v>
      </c>
      <c r="L35" s="20">
        <f t="shared" si="20"/>
        <v>0.05</v>
      </c>
      <c r="M35" s="20">
        <f t="shared" si="20"/>
        <v>0.05</v>
      </c>
      <c r="N35" s="21">
        <f t="shared" si="21"/>
        <v>0</v>
      </c>
      <c r="O35" s="21">
        <f t="shared" si="22"/>
        <v>0</v>
      </c>
      <c r="P35" s="17">
        <f>J35*PMSS</f>
        <v>800</v>
      </c>
      <c r="Q35" s="21">
        <f t="shared" si="23"/>
        <v>0</v>
      </c>
      <c r="R35" s="21">
        <f>L35*PMSS</f>
        <v>200</v>
      </c>
      <c r="S35" s="21">
        <f>M35*PMSS</f>
        <v>200</v>
      </c>
      <c r="T35" s="22">
        <f>N35+O35</f>
        <v>0</v>
      </c>
      <c r="U35" s="22">
        <f>P35</f>
        <v>800</v>
      </c>
      <c r="V35" s="22">
        <f>Q35</f>
        <v>0</v>
      </c>
      <c r="W35" s="22">
        <f>R35</f>
        <v>200</v>
      </c>
      <c r="X35" s="22">
        <f>S35</f>
        <v>200</v>
      </c>
      <c r="Y35" s="43">
        <v>0</v>
      </c>
      <c r="Z35" s="43">
        <v>0</v>
      </c>
      <c r="AA35" s="43">
        <v>0.2</v>
      </c>
      <c r="AB35" s="43">
        <v>0</v>
      </c>
      <c r="AC35" s="43">
        <v>0.05</v>
      </c>
      <c r="AD35" s="43">
        <v>0.1</v>
      </c>
    </row>
    <row r="36" spans="1:30" ht="25.15" customHeight="1">
      <c r="B36" s="34" t="s">
        <v>44</v>
      </c>
      <c r="C36" s="14" t="s">
        <v>49</v>
      </c>
      <c r="D36" s="9" t="s">
        <v>23</v>
      </c>
      <c r="E36" s="19"/>
      <c r="F36" s="19">
        <f t="shared" si="18"/>
        <v>0</v>
      </c>
      <c r="G36" s="115">
        <v>120</v>
      </c>
      <c r="H36" s="20">
        <f t="shared" si="19"/>
        <v>0</v>
      </c>
      <c r="I36" s="20">
        <f t="shared" si="19"/>
        <v>0</v>
      </c>
      <c r="J36" s="20">
        <f t="shared" si="19"/>
        <v>1.5</v>
      </c>
      <c r="K36" s="20">
        <f t="shared" si="19"/>
        <v>0</v>
      </c>
      <c r="L36" s="20">
        <f t="shared" si="20"/>
        <v>1</v>
      </c>
      <c r="M36" s="20">
        <f t="shared" si="20"/>
        <v>0.5</v>
      </c>
      <c r="N36" s="21">
        <f t="shared" si="21"/>
        <v>0</v>
      </c>
      <c r="O36" s="21">
        <f t="shared" si="22"/>
        <v>0</v>
      </c>
      <c r="P36" s="17">
        <f t="shared" si="23"/>
        <v>180</v>
      </c>
      <c r="Q36" s="21">
        <f t="shared" si="23"/>
        <v>0</v>
      </c>
      <c r="R36" s="21">
        <f t="shared" si="23"/>
        <v>120</v>
      </c>
      <c r="S36" s="21">
        <f t="shared" si="23"/>
        <v>60</v>
      </c>
      <c r="T36" s="22">
        <f t="shared" si="24"/>
        <v>0</v>
      </c>
      <c r="U36" s="22">
        <f t="shared" si="15"/>
        <v>180</v>
      </c>
      <c r="V36" s="22">
        <f t="shared" si="15"/>
        <v>0</v>
      </c>
      <c r="W36" s="22">
        <f t="shared" si="15"/>
        <v>120</v>
      </c>
      <c r="X36" s="22">
        <f t="shared" si="15"/>
        <v>60</v>
      </c>
      <c r="Y36" s="43">
        <v>0</v>
      </c>
      <c r="Z36" s="43">
        <v>0</v>
      </c>
      <c r="AA36" s="43">
        <v>1.5</v>
      </c>
      <c r="AB36" s="43">
        <v>0</v>
      </c>
      <c r="AC36" s="46">
        <v>1</v>
      </c>
      <c r="AD36" s="46">
        <v>1.5</v>
      </c>
    </row>
    <row r="37" spans="1:30" ht="25.15" customHeight="1">
      <c r="B37" s="34" t="s">
        <v>44</v>
      </c>
      <c r="C37" s="14" t="s">
        <v>50</v>
      </c>
      <c r="D37" s="9" t="s">
        <v>23</v>
      </c>
      <c r="E37" s="19"/>
      <c r="F37" s="19">
        <f t="shared" si="18"/>
        <v>0</v>
      </c>
      <c r="G37" s="115">
        <v>193.5</v>
      </c>
      <c r="H37" s="20">
        <f t="shared" si="19"/>
        <v>1</v>
      </c>
      <c r="I37" s="20">
        <f t="shared" si="19"/>
        <v>2.6</v>
      </c>
      <c r="J37" s="20">
        <f t="shared" si="19"/>
        <v>2</v>
      </c>
      <c r="K37" s="20">
        <f t="shared" si="19"/>
        <v>0</v>
      </c>
      <c r="L37" s="20">
        <f t="shared" si="20"/>
        <v>0.5</v>
      </c>
      <c r="M37" s="20">
        <f t="shared" si="20"/>
        <v>0.5</v>
      </c>
      <c r="N37" s="21">
        <f t="shared" si="21"/>
        <v>193.5</v>
      </c>
      <c r="O37" s="21">
        <f t="shared" si="22"/>
        <v>503.1</v>
      </c>
      <c r="P37" s="17">
        <f t="shared" si="23"/>
        <v>387</v>
      </c>
      <c r="Q37" s="21">
        <f t="shared" si="23"/>
        <v>0</v>
      </c>
      <c r="R37" s="21">
        <f t="shared" si="23"/>
        <v>96.75</v>
      </c>
      <c r="S37" s="21">
        <f t="shared" si="23"/>
        <v>96.75</v>
      </c>
      <c r="T37" s="22">
        <f t="shared" si="24"/>
        <v>696.6</v>
      </c>
      <c r="U37" s="22">
        <f t="shared" si="15"/>
        <v>387</v>
      </c>
      <c r="V37" s="22">
        <f t="shared" si="15"/>
        <v>0</v>
      </c>
      <c r="W37" s="22">
        <f t="shared" si="15"/>
        <v>96.75</v>
      </c>
      <c r="X37" s="22">
        <f t="shared" si="15"/>
        <v>96.75</v>
      </c>
      <c r="Y37" s="43">
        <v>1</v>
      </c>
      <c r="Z37" s="43">
        <v>2.6</v>
      </c>
      <c r="AA37" s="43">
        <v>2</v>
      </c>
      <c r="AB37" s="43">
        <v>0</v>
      </c>
      <c r="AC37" s="43">
        <v>0.5</v>
      </c>
      <c r="AD37" s="43">
        <v>1</v>
      </c>
    </row>
    <row r="38" spans="1:30" ht="25.15" customHeight="1">
      <c r="B38" s="34" t="s">
        <v>44</v>
      </c>
      <c r="C38" s="14" t="s">
        <v>51</v>
      </c>
      <c r="D38" s="9" t="s">
        <v>23</v>
      </c>
      <c r="E38" s="19"/>
      <c r="F38" s="19">
        <f t="shared" si="18"/>
        <v>0</v>
      </c>
      <c r="G38" s="115">
        <v>193.5</v>
      </c>
      <c r="H38" s="20">
        <f t="shared" si="19"/>
        <v>0</v>
      </c>
      <c r="I38" s="20">
        <f t="shared" si="19"/>
        <v>0</v>
      </c>
      <c r="J38" s="20">
        <f t="shared" si="19"/>
        <v>3</v>
      </c>
      <c r="K38" s="20">
        <f t="shared" si="19"/>
        <v>0</v>
      </c>
      <c r="L38" s="20">
        <f t="shared" si="20"/>
        <v>1.5</v>
      </c>
      <c r="M38" s="20">
        <f t="shared" si="20"/>
        <v>1.5</v>
      </c>
      <c r="N38" s="21">
        <f t="shared" si="21"/>
        <v>0</v>
      </c>
      <c r="O38" s="21">
        <f t="shared" si="22"/>
        <v>0</v>
      </c>
      <c r="P38" s="17">
        <f t="shared" si="23"/>
        <v>580.5</v>
      </c>
      <c r="Q38" s="21">
        <f t="shared" si="23"/>
        <v>0</v>
      </c>
      <c r="R38" s="21">
        <f t="shared" si="23"/>
        <v>290.25</v>
      </c>
      <c r="S38" s="21">
        <f t="shared" si="23"/>
        <v>290.25</v>
      </c>
      <c r="T38" s="22">
        <f t="shared" si="24"/>
        <v>0</v>
      </c>
      <c r="U38" s="22">
        <f t="shared" si="15"/>
        <v>580.5</v>
      </c>
      <c r="V38" s="22">
        <f t="shared" si="15"/>
        <v>0</v>
      </c>
      <c r="W38" s="22">
        <f t="shared" si="15"/>
        <v>290.25</v>
      </c>
      <c r="X38" s="22">
        <f t="shared" si="15"/>
        <v>290.25</v>
      </c>
      <c r="Y38" s="43">
        <v>0</v>
      </c>
      <c r="Z38" s="43">
        <v>0</v>
      </c>
      <c r="AA38" s="43">
        <v>3</v>
      </c>
      <c r="AB38" s="43">
        <v>0</v>
      </c>
      <c r="AC38" s="43">
        <v>1.5</v>
      </c>
      <c r="AD38" s="43">
        <v>3</v>
      </c>
    </row>
    <row r="39" spans="1:30" ht="25.15" customHeight="1">
      <c r="B39" s="34" t="s">
        <v>44</v>
      </c>
      <c r="C39" s="14" t="s">
        <v>52</v>
      </c>
      <c r="D39" s="9" t="s">
        <v>18</v>
      </c>
      <c r="E39" s="19"/>
      <c r="F39" s="19">
        <f t="shared" si="18"/>
        <v>0</v>
      </c>
      <c r="G39" s="114">
        <v>0</v>
      </c>
      <c r="H39" s="20">
        <f t="shared" si="19"/>
        <v>0</v>
      </c>
      <c r="I39" s="20">
        <f t="shared" si="19"/>
        <v>0</v>
      </c>
      <c r="J39" s="29">
        <f t="shared" si="19"/>
        <v>8.4000000000000005E-2</v>
      </c>
      <c r="K39" s="20">
        <f t="shared" si="19"/>
        <v>0</v>
      </c>
      <c r="L39" s="20">
        <f t="shared" si="20"/>
        <v>250</v>
      </c>
      <c r="M39" s="20">
        <f t="shared" si="20"/>
        <v>250</v>
      </c>
      <c r="N39" s="21">
        <f t="shared" si="21"/>
        <v>0</v>
      </c>
      <c r="O39" s="21">
        <f t="shared" si="22"/>
        <v>0</v>
      </c>
      <c r="P39" s="17">
        <f>J39*PMSS</f>
        <v>336</v>
      </c>
      <c r="Q39" s="21">
        <f>K39*PMSS</f>
        <v>0</v>
      </c>
      <c r="R39" s="155">
        <f>L39</f>
        <v>250</v>
      </c>
      <c r="S39" s="155">
        <f>M39</f>
        <v>250</v>
      </c>
      <c r="T39" s="22">
        <f t="shared" si="24"/>
        <v>0</v>
      </c>
      <c r="U39" s="22">
        <f t="shared" si="15"/>
        <v>336</v>
      </c>
      <c r="V39" s="22">
        <f t="shared" si="15"/>
        <v>0</v>
      </c>
      <c r="W39" s="22">
        <f>R39</f>
        <v>250</v>
      </c>
      <c r="X39" s="22">
        <f t="shared" si="15"/>
        <v>250</v>
      </c>
      <c r="Y39" s="43">
        <v>0</v>
      </c>
      <c r="Z39" s="43">
        <v>0</v>
      </c>
      <c r="AA39" s="46">
        <v>8.4000000000000005E-2</v>
      </c>
      <c r="AB39" s="43">
        <v>0</v>
      </c>
      <c r="AC39" s="154">
        <v>250</v>
      </c>
      <c r="AD39" s="154">
        <v>500</v>
      </c>
    </row>
    <row r="40" spans="1:30" ht="25.15" customHeight="1">
      <c r="C40" s="11" t="s">
        <v>53</v>
      </c>
      <c r="D40" s="9"/>
      <c r="E40" s="12"/>
      <c r="F40" s="12"/>
      <c r="G40" s="12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25.15" customHeight="1">
      <c r="B41" s="34" t="s">
        <v>53</v>
      </c>
      <c r="C41" s="14" t="s">
        <v>54</v>
      </c>
      <c r="D41" s="9" t="s">
        <v>55</v>
      </c>
      <c r="E41" s="19"/>
      <c r="F41" s="19">
        <f>E41</f>
        <v>0</v>
      </c>
      <c r="G41" s="115">
        <v>0.05</v>
      </c>
      <c r="H41" s="20">
        <f t="shared" ref="H41:K45" si="25">Y41</f>
        <v>0.6</v>
      </c>
      <c r="I41" s="30">
        <f t="shared" si="25"/>
        <v>34.97</v>
      </c>
      <c r="J41" s="30">
        <f t="shared" si="25"/>
        <v>65</v>
      </c>
      <c r="K41" s="30">
        <f t="shared" si="25"/>
        <v>0</v>
      </c>
      <c r="L41" s="30">
        <f t="shared" ref="L41:M45" si="26">AC41-AB41</f>
        <v>50</v>
      </c>
      <c r="M41" s="30">
        <f t="shared" si="26"/>
        <v>0</v>
      </c>
      <c r="N41" s="31">
        <f>G41*H41</f>
        <v>0.03</v>
      </c>
      <c r="O41" s="21">
        <f>I41</f>
        <v>34.97</v>
      </c>
      <c r="P41" s="21">
        <f>J41</f>
        <v>65</v>
      </c>
      <c r="Q41" s="21">
        <f>K41</f>
        <v>0</v>
      </c>
      <c r="R41" s="21">
        <f>L41</f>
        <v>50</v>
      </c>
      <c r="S41" s="21">
        <f>M41</f>
        <v>0</v>
      </c>
      <c r="T41" s="22">
        <f>N41+O41</f>
        <v>35</v>
      </c>
      <c r="U41" s="22">
        <f t="shared" si="15"/>
        <v>65</v>
      </c>
      <c r="V41" s="22">
        <f t="shared" si="15"/>
        <v>0</v>
      </c>
      <c r="W41" s="22">
        <f t="shared" si="15"/>
        <v>50</v>
      </c>
      <c r="X41" s="22">
        <f t="shared" si="15"/>
        <v>0</v>
      </c>
      <c r="Y41" s="43">
        <v>0.6</v>
      </c>
      <c r="Z41" s="47">
        <v>34.97</v>
      </c>
      <c r="AA41" s="47">
        <v>65</v>
      </c>
      <c r="AB41" s="47">
        <v>0</v>
      </c>
      <c r="AC41" s="47">
        <v>50</v>
      </c>
      <c r="AD41" s="47">
        <v>50</v>
      </c>
    </row>
    <row r="42" spans="1:30" ht="25.15" customHeight="1">
      <c r="B42" s="34" t="s">
        <v>53</v>
      </c>
      <c r="C42" s="14" t="s">
        <v>56</v>
      </c>
      <c r="D42" s="9" t="s">
        <v>55</v>
      </c>
      <c r="E42" s="19"/>
      <c r="F42" s="19">
        <f>E42</f>
        <v>0</v>
      </c>
      <c r="G42" s="115">
        <v>0.05</v>
      </c>
      <c r="H42" s="20">
        <f t="shared" si="25"/>
        <v>0.6</v>
      </c>
      <c r="I42" s="30">
        <f t="shared" si="25"/>
        <v>49.97</v>
      </c>
      <c r="J42" s="30">
        <f t="shared" si="25"/>
        <v>55</v>
      </c>
      <c r="K42" s="30">
        <f t="shared" si="25"/>
        <v>0</v>
      </c>
      <c r="L42" s="30">
        <f t="shared" si="26"/>
        <v>0</v>
      </c>
      <c r="M42" s="30">
        <f t="shared" si="26"/>
        <v>0</v>
      </c>
      <c r="N42" s="31">
        <f>G42*H42*2</f>
        <v>0.06</v>
      </c>
      <c r="O42" s="21">
        <f t="shared" ref="O42:S43" si="27">I42*2</f>
        <v>99.94</v>
      </c>
      <c r="P42" s="21">
        <f t="shared" si="27"/>
        <v>110</v>
      </c>
      <c r="Q42" s="21">
        <f t="shared" si="27"/>
        <v>0</v>
      </c>
      <c r="R42" s="21">
        <f t="shared" si="27"/>
        <v>0</v>
      </c>
      <c r="S42" s="21">
        <f t="shared" si="27"/>
        <v>0</v>
      </c>
      <c r="T42" s="22">
        <f>N42+O42</f>
        <v>100</v>
      </c>
      <c r="U42" s="22">
        <f t="shared" si="15"/>
        <v>110</v>
      </c>
      <c r="V42" s="22">
        <f t="shared" si="15"/>
        <v>0</v>
      </c>
      <c r="W42" s="22">
        <f t="shared" si="15"/>
        <v>0</v>
      </c>
      <c r="X42" s="22">
        <f t="shared" si="15"/>
        <v>0</v>
      </c>
      <c r="Y42" s="43">
        <v>0.6</v>
      </c>
      <c r="Z42" s="47">
        <v>49.97</v>
      </c>
      <c r="AA42" s="47">
        <v>55</v>
      </c>
      <c r="AB42" s="47">
        <v>0</v>
      </c>
      <c r="AC42" s="47">
        <v>0</v>
      </c>
      <c r="AD42" s="47">
        <v>0</v>
      </c>
    </row>
    <row r="43" spans="1:30" ht="25.15" customHeight="1">
      <c r="B43" s="34" t="s">
        <v>53</v>
      </c>
      <c r="C43" s="14" t="s">
        <v>57</v>
      </c>
      <c r="D43" s="9" t="s">
        <v>55</v>
      </c>
      <c r="E43" s="19"/>
      <c r="F43" s="19">
        <f>E43</f>
        <v>0</v>
      </c>
      <c r="G43" s="115">
        <v>0.05</v>
      </c>
      <c r="H43" s="20">
        <f t="shared" si="25"/>
        <v>0.6</v>
      </c>
      <c r="I43" s="30">
        <f t="shared" si="25"/>
        <v>123.97</v>
      </c>
      <c r="J43" s="30">
        <f t="shared" si="25"/>
        <v>156</v>
      </c>
      <c r="K43" s="30">
        <f t="shared" si="25"/>
        <v>0</v>
      </c>
      <c r="L43" s="30">
        <f t="shared" si="26"/>
        <v>0</v>
      </c>
      <c r="M43" s="30">
        <f t="shared" si="26"/>
        <v>0</v>
      </c>
      <c r="N43" s="31">
        <f>G43*H43*2</f>
        <v>0.06</v>
      </c>
      <c r="O43" s="21">
        <f t="shared" si="27"/>
        <v>247.94</v>
      </c>
      <c r="P43" s="21">
        <f t="shared" si="27"/>
        <v>312</v>
      </c>
      <c r="Q43" s="21">
        <f t="shared" si="27"/>
        <v>0</v>
      </c>
      <c r="R43" s="21">
        <f t="shared" si="27"/>
        <v>0</v>
      </c>
      <c r="S43" s="21">
        <f t="shared" si="27"/>
        <v>0</v>
      </c>
      <c r="T43" s="22">
        <f>N43+O43</f>
        <v>248</v>
      </c>
      <c r="U43" s="22">
        <f t="shared" si="15"/>
        <v>312</v>
      </c>
      <c r="V43" s="22">
        <f t="shared" si="15"/>
        <v>0</v>
      </c>
      <c r="W43" s="22">
        <f t="shared" si="15"/>
        <v>0</v>
      </c>
      <c r="X43" s="22">
        <f t="shared" si="15"/>
        <v>0</v>
      </c>
      <c r="Y43" s="43">
        <v>0.6</v>
      </c>
      <c r="Z43" s="47">
        <v>123.97</v>
      </c>
      <c r="AA43" s="47">
        <v>156</v>
      </c>
      <c r="AB43" s="47">
        <v>0</v>
      </c>
      <c r="AC43" s="47">
        <v>0</v>
      </c>
      <c r="AD43" s="47">
        <v>0</v>
      </c>
    </row>
    <row r="44" spans="1:30" ht="25.15" customHeight="1">
      <c r="C44" s="14" t="s">
        <v>58</v>
      </c>
      <c r="D44" s="9" t="s">
        <v>18</v>
      </c>
      <c r="E44" s="19"/>
      <c r="F44" s="19"/>
      <c r="G44" s="115">
        <v>0</v>
      </c>
      <c r="H44" s="32">
        <f t="shared" si="25"/>
        <v>0</v>
      </c>
      <c r="I44" s="32">
        <f t="shared" si="25"/>
        <v>0</v>
      </c>
      <c r="J44" s="32">
        <f t="shared" si="25"/>
        <v>0.32</v>
      </c>
      <c r="K44" s="32">
        <f t="shared" si="25"/>
        <v>0</v>
      </c>
      <c r="L44" s="32">
        <f t="shared" si="26"/>
        <v>0.02</v>
      </c>
      <c r="M44" s="32">
        <f t="shared" si="26"/>
        <v>3.0000000000000002E-2</v>
      </c>
      <c r="N44" s="31">
        <f>G44*H44*2</f>
        <v>0</v>
      </c>
      <c r="O44" s="21">
        <f t="shared" ref="O44:S45" si="28">I44*PMSS</f>
        <v>0</v>
      </c>
      <c r="P44" s="21">
        <f t="shared" si="28"/>
        <v>1280</v>
      </c>
      <c r="Q44" s="21">
        <f t="shared" si="28"/>
        <v>0</v>
      </c>
      <c r="R44" s="21">
        <f t="shared" si="28"/>
        <v>80</v>
      </c>
      <c r="S44" s="21">
        <f t="shared" si="28"/>
        <v>120.00000000000001</v>
      </c>
      <c r="T44" s="22">
        <f>N44+O44</f>
        <v>0</v>
      </c>
      <c r="U44" s="22">
        <f t="shared" si="15"/>
        <v>1280</v>
      </c>
      <c r="V44" s="22">
        <f t="shared" si="15"/>
        <v>0</v>
      </c>
      <c r="W44" s="22">
        <f t="shared" si="15"/>
        <v>80</v>
      </c>
      <c r="X44" s="22">
        <f t="shared" si="15"/>
        <v>120.00000000000001</v>
      </c>
      <c r="Y44" s="43">
        <v>0</v>
      </c>
      <c r="Z44" s="48">
        <v>0</v>
      </c>
      <c r="AA44" s="48">
        <v>0.32</v>
      </c>
      <c r="AB44" s="48">
        <v>0</v>
      </c>
      <c r="AC44" s="48">
        <v>0.02</v>
      </c>
      <c r="AD44" s="48">
        <v>0.05</v>
      </c>
    </row>
    <row r="45" spans="1:30" ht="25.15" customHeight="1">
      <c r="B45" s="34" t="s">
        <v>53</v>
      </c>
      <c r="C45" s="14" t="s">
        <v>59</v>
      </c>
      <c r="D45" s="9" t="s">
        <v>18</v>
      </c>
      <c r="E45" s="19"/>
      <c r="F45" s="19">
        <f>E45</f>
        <v>0</v>
      </c>
      <c r="G45" s="115">
        <v>0</v>
      </c>
      <c r="H45" s="32">
        <f t="shared" si="25"/>
        <v>0</v>
      </c>
      <c r="I45" s="32">
        <f t="shared" si="25"/>
        <v>2.3074999999999998E-2</v>
      </c>
      <c r="J45" s="32">
        <f t="shared" si="25"/>
        <v>7.3499999999999996E-2</v>
      </c>
      <c r="K45" s="32">
        <f t="shared" si="25"/>
        <v>0</v>
      </c>
      <c r="L45" s="32">
        <f t="shared" si="26"/>
        <v>2.5000000000000001E-2</v>
      </c>
      <c r="M45" s="32">
        <f t="shared" si="26"/>
        <v>1.9999999999999997E-2</v>
      </c>
      <c r="N45" s="31">
        <f>G45*H45*2</f>
        <v>0</v>
      </c>
      <c r="O45" s="21">
        <f t="shared" si="28"/>
        <v>92.3</v>
      </c>
      <c r="P45" s="21">
        <f t="shared" si="28"/>
        <v>294</v>
      </c>
      <c r="Q45" s="21">
        <f t="shared" si="28"/>
        <v>0</v>
      </c>
      <c r="R45" s="21">
        <f t="shared" si="28"/>
        <v>100</v>
      </c>
      <c r="S45" s="21">
        <f t="shared" si="28"/>
        <v>79.999999999999986</v>
      </c>
      <c r="T45" s="22">
        <f>N45+O45</f>
        <v>92.3</v>
      </c>
      <c r="U45" s="22">
        <f t="shared" si="15"/>
        <v>294</v>
      </c>
      <c r="V45" s="22">
        <f t="shared" si="15"/>
        <v>0</v>
      </c>
      <c r="W45" s="22">
        <f t="shared" si="15"/>
        <v>100</v>
      </c>
      <c r="X45" s="22">
        <f t="shared" si="15"/>
        <v>79.999999999999986</v>
      </c>
      <c r="Y45" s="48">
        <v>0</v>
      </c>
      <c r="Z45" s="48">
        <f>92.3/PMSS</f>
        <v>2.3074999999999998E-2</v>
      </c>
      <c r="AA45" s="48">
        <v>7.3499999999999996E-2</v>
      </c>
      <c r="AB45" s="48">
        <v>0</v>
      </c>
      <c r="AC45" s="48">
        <v>2.5000000000000001E-2</v>
      </c>
      <c r="AD45" s="48">
        <v>4.4999999999999998E-2</v>
      </c>
    </row>
    <row r="46" spans="1:30" ht="25.15" customHeight="1">
      <c r="C46" s="11" t="s">
        <v>60</v>
      </c>
      <c r="D46" s="9"/>
      <c r="E46" s="12"/>
      <c r="F46" s="12"/>
      <c r="G46" s="12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25.15" customHeight="1">
      <c r="B47" s="34" t="s">
        <v>60</v>
      </c>
      <c r="C47" s="14" t="s">
        <v>61</v>
      </c>
      <c r="D47" s="9" t="s">
        <v>55</v>
      </c>
      <c r="E47" s="19"/>
      <c r="F47" s="19">
        <f>E47</f>
        <v>0</v>
      </c>
      <c r="G47" s="115">
        <v>0</v>
      </c>
      <c r="H47" s="30">
        <v>0</v>
      </c>
      <c r="I47" s="30">
        <v>0</v>
      </c>
      <c r="J47" s="30">
        <v>50</v>
      </c>
      <c r="K47" s="30">
        <v>0</v>
      </c>
      <c r="L47" s="30">
        <v>0</v>
      </c>
      <c r="M47" s="30">
        <v>10</v>
      </c>
      <c r="N47" s="21">
        <f>G47*H47</f>
        <v>0</v>
      </c>
      <c r="O47" s="21">
        <f>G47*I47</f>
        <v>0</v>
      </c>
      <c r="P47" s="21">
        <f>J47</f>
        <v>50</v>
      </c>
      <c r="Q47" s="21">
        <f t="shared" ref="Q47:S51" si="29">K47</f>
        <v>0</v>
      </c>
      <c r="R47" s="21">
        <f t="shared" si="29"/>
        <v>0</v>
      </c>
      <c r="S47" s="21">
        <f t="shared" si="29"/>
        <v>10</v>
      </c>
      <c r="T47" s="22">
        <f>N47+O47</f>
        <v>0</v>
      </c>
      <c r="U47" s="22">
        <f t="shared" si="15"/>
        <v>50</v>
      </c>
      <c r="V47" s="22">
        <f t="shared" si="15"/>
        <v>0</v>
      </c>
      <c r="W47" s="22">
        <f t="shared" si="15"/>
        <v>0</v>
      </c>
      <c r="X47" s="22">
        <f t="shared" si="15"/>
        <v>10</v>
      </c>
      <c r="Y47" s="47">
        <v>0</v>
      </c>
      <c r="Z47" s="47">
        <v>0</v>
      </c>
      <c r="AA47" s="47">
        <v>50</v>
      </c>
      <c r="AB47" s="47">
        <v>0</v>
      </c>
      <c r="AC47" s="47">
        <v>0</v>
      </c>
      <c r="AD47" s="47">
        <v>10</v>
      </c>
    </row>
    <row r="48" spans="1:30" ht="25.15" customHeight="1">
      <c r="A48" s="39"/>
      <c r="B48" s="34" t="s">
        <v>60</v>
      </c>
      <c r="C48" s="14" t="s">
        <v>62</v>
      </c>
      <c r="D48" s="9" t="s">
        <v>55</v>
      </c>
      <c r="E48" s="19"/>
      <c r="F48" s="19">
        <f>E48</f>
        <v>0</v>
      </c>
      <c r="G48" s="115">
        <v>0</v>
      </c>
      <c r="H48" s="30">
        <v>0</v>
      </c>
      <c r="I48" s="30">
        <v>0</v>
      </c>
      <c r="J48" s="30">
        <v>60</v>
      </c>
      <c r="K48" s="30">
        <v>0</v>
      </c>
      <c r="L48" s="30">
        <f>IFERROR(
IF(OR(Simulateur!$E14=Garantie!$C$48, Simulateur!$E14=Garantie!$C$49, Simulateur!$E14=Garantie!$C$50, Simulateur!$E14=Garantie!$C$51),MIN(J48,(J48-Simulateur!X14)),0),
0
)</f>
        <v>0</v>
      </c>
      <c r="M48" s="30">
        <v>20</v>
      </c>
      <c r="N48" s="21">
        <f>G48*H48</f>
        <v>0</v>
      </c>
      <c r="O48" s="21">
        <f>G48*I48</f>
        <v>0</v>
      </c>
      <c r="P48" s="21">
        <f>J48</f>
        <v>60</v>
      </c>
      <c r="Q48" s="21">
        <f t="shared" si="29"/>
        <v>0</v>
      </c>
      <c r="R48" s="21">
        <f t="shared" si="29"/>
        <v>0</v>
      </c>
      <c r="S48" s="21">
        <f t="shared" si="29"/>
        <v>20</v>
      </c>
      <c r="T48" s="22">
        <f>N48+O48</f>
        <v>0</v>
      </c>
      <c r="U48" s="22">
        <f t="shared" si="15"/>
        <v>60</v>
      </c>
      <c r="V48" s="22">
        <f t="shared" si="15"/>
        <v>0</v>
      </c>
      <c r="W48" s="22">
        <f t="shared" si="15"/>
        <v>0</v>
      </c>
      <c r="X48" s="22">
        <f t="shared" si="15"/>
        <v>20</v>
      </c>
      <c r="Y48" s="47">
        <v>0</v>
      </c>
      <c r="Z48" s="47">
        <v>0</v>
      </c>
      <c r="AA48" s="47">
        <v>60</v>
      </c>
      <c r="AB48" s="47">
        <v>0</v>
      </c>
      <c r="AC48" s="47">
        <v>0</v>
      </c>
      <c r="AD48" s="47">
        <v>20</v>
      </c>
    </row>
    <row r="49" spans="2:30" ht="25.15" customHeight="1">
      <c r="B49" s="34" t="s">
        <v>60</v>
      </c>
      <c r="C49" s="14" t="s">
        <v>63</v>
      </c>
      <c r="D49" s="9" t="s">
        <v>55</v>
      </c>
      <c r="E49" s="19"/>
      <c r="F49" s="19">
        <f>E49</f>
        <v>0</v>
      </c>
      <c r="G49" s="115">
        <v>0</v>
      </c>
      <c r="H49" s="30">
        <v>0</v>
      </c>
      <c r="I49" s="30">
        <v>0</v>
      </c>
      <c r="J49" s="30">
        <v>60</v>
      </c>
      <c r="K49" s="30">
        <v>0</v>
      </c>
      <c r="L49" s="30">
        <f>IFERROR(
IF(OR(Simulateur!$E15=Garantie!$C$48, Simulateur!$E15=Garantie!$C$49, Simulateur!$E15=Garantie!$C$50, Simulateur!$E15=Garantie!$C$51),MIN(J49,(J49-Simulateur!X15)),0),
0
)</f>
        <v>0</v>
      </c>
      <c r="M49" s="30">
        <v>20</v>
      </c>
      <c r="N49" s="21">
        <f>G49*H49</f>
        <v>0</v>
      </c>
      <c r="O49" s="21">
        <f>G49*I49</f>
        <v>0</v>
      </c>
      <c r="P49" s="21">
        <f>J49</f>
        <v>60</v>
      </c>
      <c r="Q49" s="21">
        <f t="shared" si="29"/>
        <v>0</v>
      </c>
      <c r="R49" s="21">
        <f t="shared" si="29"/>
        <v>0</v>
      </c>
      <c r="S49" s="21">
        <f t="shared" si="29"/>
        <v>20</v>
      </c>
      <c r="T49" s="22">
        <f>N49+O49</f>
        <v>0</v>
      </c>
      <c r="U49" s="22">
        <f t="shared" si="15"/>
        <v>60</v>
      </c>
      <c r="V49" s="22">
        <f t="shared" si="15"/>
        <v>0</v>
      </c>
      <c r="W49" s="22">
        <f t="shared" si="15"/>
        <v>0</v>
      </c>
      <c r="X49" s="22">
        <f t="shared" si="15"/>
        <v>20</v>
      </c>
      <c r="Y49" s="47">
        <v>0</v>
      </c>
      <c r="Z49" s="47">
        <v>0</v>
      </c>
      <c r="AA49" s="47">
        <v>60</v>
      </c>
      <c r="AB49" s="47">
        <v>0</v>
      </c>
      <c r="AC49" s="47">
        <v>0</v>
      </c>
      <c r="AD49" s="47">
        <v>20</v>
      </c>
    </row>
    <row r="50" spans="2:30" ht="25.15" customHeight="1">
      <c r="B50" s="34" t="s">
        <v>60</v>
      </c>
      <c r="C50" s="14" t="s">
        <v>64</v>
      </c>
      <c r="D50" s="9" t="s">
        <v>55</v>
      </c>
      <c r="E50" s="19"/>
      <c r="F50" s="19">
        <f>E50</f>
        <v>0</v>
      </c>
      <c r="G50" s="115">
        <v>0</v>
      </c>
      <c r="H50" s="30">
        <v>0</v>
      </c>
      <c r="I50" s="30">
        <v>0</v>
      </c>
      <c r="J50" s="30">
        <v>60</v>
      </c>
      <c r="K50" s="30">
        <v>0</v>
      </c>
      <c r="L50" s="30">
        <f>IFERROR(
IF(OR(Simulateur!$E16=Garantie!$C$48, Simulateur!$E16=Garantie!$C$49, Simulateur!$E16=Garantie!$C$50, Simulateur!$E16=Garantie!$C$51),MIN(J50,(J50-Simulateur!X16)),0),
0
)</f>
        <v>0</v>
      </c>
      <c r="M50" s="30">
        <v>20</v>
      </c>
      <c r="N50" s="21">
        <f>G50*H50</f>
        <v>0</v>
      </c>
      <c r="O50" s="21">
        <f>G50*I50</f>
        <v>0</v>
      </c>
      <c r="P50" s="21">
        <f>J50</f>
        <v>60</v>
      </c>
      <c r="Q50" s="21">
        <f t="shared" si="29"/>
        <v>0</v>
      </c>
      <c r="R50" s="21">
        <f t="shared" si="29"/>
        <v>0</v>
      </c>
      <c r="S50" s="21">
        <f t="shared" si="29"/>
        <v>20</v>
      </c>
      <c r="T50" s="22">
        <f>N50+O50</f>
        <v>0</v>
      </c>
      <c r="U50" s="22">
        <f t="shared" si="15"/>
        <v>60</v>
      </c>
      <c r="V50" s="22">
        <f t="shared" si="15"/>
        <v>0</v>
      </c>
      <c r="W50" s="22">
        <f t="shared" si="15"/>
        <v>0</v>
      </c>
      <c r="X50" s="22">
        <f t="shared" si="15"/>
        <v>20</v>
      </c>
      <c r="Y50" s="47">
        <v>0</v>
      </c>
      <c r="Z50" s="47">
        <v>0</v>
      </c>
      <c r="AA50" s="47">
        <v>60</v>
      </c>
      <c r="AB50" s="47">
        <v>0</v>
      </c>
      <c r="AC50" s="47">
        <v>0</v>
      </c>
      <c r="AD50" s="47">
        <v>20</v>
      </c>
    </row>
    <row r="51" spans="2:30" ht="25.15" customHeight="1">
      <c r="B51" s="34" t="s">
        <v>60</v>
      </c>
      <c r="C51" s="14" t="s">
        <v>65</v>
      </c>
      <c r="D51" s="9" t="s">
        <v>55</v>
      </c>
      <c r="E51" s="19"/>
      <c r="F51" s="19">
        <f>E51</f>
        <v>0</v>
      </c>
      <c r="G51" s="115">
        <v>0</v>
      </c>
      <c r="H51" s="30">
        <v>0</v>
      </c>
      <c r="I51" s="30">
        <v>0</v>
      </c>
      <c r="J51" s="30">
        <v>60</v>
      </c>
      <c r="K51" s="30">
        <v>0</v>
      </c>
      <c r="L51" s="30">
        <f>IFERROR(
IF(OR(Simulateur!$E17=Garantie!$C$48, Simulateur!$E17=Garantie!$C$49, Simulateur!$E17=Garantie!$C$50, Simulateur!$E17=Garantie!$C$51),MIN(J51,(J51-Simulateur!X17)),0),
0
)</f>
        <v>0</v>
      </c>
      <c r="M51" s="30">
        <v>20</v>
      </c>
      <c r="N51" s="21">
        <f>G51*H51</f>
        <v>0</v>
      </c>
      <c r="O51" s="21">
        <f>G51*I51</f>
        <v>0</v>
      </c>
      <c r="P51" s="21">
        <f>J51</f>
        <v>60</v>
      </c>
      <c r="Q51" s="21">
        <f t="shared" si="29"/>
        <v>0</v>
      </c>
      <c r="R51" s="21">
        <f t="shared" si="29"/>
        <v>0</v>
      </c>
      <c r="S51" s="21">
        <f t="shared" si="29"/>
        <v>20</v>
      </c>
      <c r="T51" s="22">
        <f>N51+O51</f>
        <v>0</v>
      </c>
      <c r="U51" s="22">
        <f t="shared" si="15"/>
        <v>60</v>
      </c>
      <c r="V51" s="22">
        <f t="shared" si="15"/>
        <v>0</v>
      </c>
      <c r="W51" s="22">
        <f t="shared" si="15"/>
        <v>0</v>
      </c>
      <c r="X51" s="22">
        <f t="shared" si="15"/>
        <v>20</v>
      </c>
      <c r="Y51" s="47">
        <v>0</v>
      </c>
      <c r="Z51" s="47">
        <v>0</v>
      </c>
      <c r="AA51" s="47">
        <v>60</v>
      </c>
      <c r="AB51" s="47">
        <v>0</v>
      </c>
      <c r="AC51" s="47">
        <v>0</v>
      </c>
      <c r="AD51" s="47">
        <v>20</v>
      </c>
    </row>
    <row r="52" spans="2:30" ht="25.15" customHeight="1">
      <c r="C52" s="11" t="s">
        <v>66</v>
      </c>
      <c r="D52" s="9"/>
      <c r="E52" s="12"/>
      <c r="F52" s="12"/>
      <c r="G52" s="12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2:30" ht="25.15" customHeight="1">
      <c r="B53" s="34" t="s">
        <v>66</v>
      </c>
      <c r="C53" s="14" t="s">
        <v>67</v>
      </c>
      <c r="D53" s="9" t="s">
        <v>18</v>
      </c>
      <c r="E53" s="19"/>
      <c r="F53" s="19">
        <f>E53</f>
        <v>0</v>
      </c>
      <c r="G53" s="114">
        <v>0</v>
      </c>
      <c r="H53" s="29">
        <f t="shared" ref="H53:K56" si="30">Y53</f>
        <v>0</v>
      </c>
      <c r="I53" s="29">
        <f t="shared" si="30"/>
        <v>0</v>
      </c>
      <c r="J53" s="33">
        <f t="shared" si="30"/>
        <v>3.85E-2</v>
      </c>
      <c r="K53" s="29">
        <f t="shared" si="30"/>
        <v>0</v>
      </c>
      <c r="L53" s="29">
        <f t="shared" ref="L53:M56" si="31">AC53-AB53</f>
        <v>1.4999999999999999E-2</v>
      </c>
      <c r="M53" s="29">
        <f t="shared" si="31"/>
        <v>0</v>
      </c>
      <c r="N53" s="21">
        <f>G53*H53</f>
        <v>0</v>
      </c>
      <c r="O53" s="21">
        <f>G53*I53</f>
        <v>0</v>
      </c>
      <c r="P53" s="21">
        <f t="shared" ref="P53:S54" si="32">J53*PMSS</f>
        <v>154</v>
      </c>
      <c r="Q53" s="21">
        <f t="shared" si="32"/>
        <v>0</v>
      </c>
      <c r="R53" s="21">
        <f t="shared" si="32"/>
        <v>60</v>
      </c>
      <c r="S53" s="21">
        <f t="shared" si="32"/>
        <v>0</v>
      </c>
      <c r="T53" s="22">
        <f>N53+O53</f>
        <v>0</v>
      </c>
      <c r="U53" s="22">
        <f>P53</f>
        <v>154</v>
      </c>
      <c r="V53" s="22">
        <f>Q53</f>
        <v>0</v>
      </c>
      <c r="W53" s="22">
        <f>R53</f>
        <v>60</v>
      </c>
      <c r="X53" s="22">
        <f>S53</f>
        <v>0</v>
      </c>
      <c r="Y53" s="46">
        <v>0</v>
      </c>
      <c r="Z53" s="46">
        <v>0</v>
      </c>
      <c r="AA53" s="49">
        <v>3.85E-2</v>
      </c>
      <c r="AB53" s="46">
        <v>0</v>
      </c>
      <c r="AC53" s="46">
        <v>1.4999999999999999E-2</v>
      </c>
      <c r="AD53" s="46">
        <v>1.4999999999999999E-2</v>
      </c>
    </row>
    <row r="54" spans="2:30" ht="25.15" customHeight="1">
      <c r="B54" s="34" t="s">
        <v>66</v>
      </c>
      <c r="C54" s="14" t="s">
        <v>68</v>
      </c>
      <c r="D54" s="9" t="s">
        <v>18</v>
      </c>
      <c r="E54" s="19"/>
      <c r="F54" s="19">
        <f>E54</f>
        <v>0</v>
      </c>
      <c r="G54" s="114">
        <v>0</v>
      </c>
      <c r="H54" s="29">
        <f t="shared" si="30"/>
        <v>0</v>
      </c>
      <c r="I54" s="29">
        <f t="shared" si="30"/>
        <v>0</v>
      </c>
      <c r="J54" s="33">
        <f t="shared" si="30"/>
        <v>3.85E-2</v>
      </c>
      <c r="K54" s="29">
        <f t="shared" si="30"/>
        <v>0</v>
      </c>
      <c r="L54" s="29">
        <f t="shared" si="31"/>
        <v>1.4999999999999999E-2</v>
      </c>
      <c r="M54" s="29">
        <f t="shared" si="31"/>
        <v>0</v>
      </c>
      <c r="N54" s="21">
        <f>G54*H54</f>
        <v>0</v>
      </c>
      <c r="O54" s="21">
        <f>G54*I54</f>
        <v>0</v>
      </c>
      <c r="P54" s="21">
        <f t="shared" si="32"/>
        <v>154</v>
      </c>
      <c r="Q54" s="21">
        <f t="shared" si="32"/>
        <v>0</v>
      </c>
      <c r="R54" s="21">
        <f t="shared" si="32"/>
        <v>60</v>
      </c>
      <c r="S54" s="21">
        <f t="shared" si="32"/>
        <v>0</v>
      </c>
      <c r="T54" s="22">
        <f>N54+O54</f>
        <v>0</v>
      </c>
      <c r="U54" s="22">
        <f t="shared" si="15"/>
        <v>154</v>
      </c>
      <c r="V54" s="22">
        <f t="shared" si="15"/>
        <v>0</v>
      </c>
      <c r="W54" s="22">
        <f t="shared" si="15"/>
        <v>60</v>
      </c>
      <c r="X54" s="22">
        <f t="shared" si="15"/>
        <v>0</v>
      </c>
      <c r="Y54" s="46">
        <v>0</v>
      </c>
      <c r="Z54" s="46">
        <v>0</v>
      </c>
      <c r="AA54" s="49">
        <v>3.85E-2</v>
      </c>
      <c r="AB54" s="46">
        <v>0</v>
      </c>
      <c r="AC54" s="46">
        <v>1.4999999999999999E-2</v>
      </c>
      <c r="AD54" s="46">
        <v>1.4999999999999999E-2</v>
      </c>
    </row>
    <row r="55" spans="2:30" ht="25.15" customHeight="1">
      <c r="B55" s="34" t="s">
        <v>66</v>
      </c>
      <c r="C55" s="14" t="s">
        <v>69</v>
      </c>
      <c r="D55" s="9" t="s">
        <v>23</v>
      </c>
      <c r="E55" s="19"/>
      <c r="F55" s="19">
        <f>E55</f>
        <v>0</v>
      </c>
      <c r="G55" s="115">
        <v>350</v>
      </c>
      <c r="H55" s="20">
        <f t="shared" si="30"/>
        <v>0.6</v>
      </c>
      <c r="I55" s="20">
        <f t="shared" si="30"/>
        <v>1.9</v>
      </c>
      <c r="J55" s="29">
        <f t="shared" si="30"/>
        <v>1</v>
      </c>
      <c r="K55" s="20">
        <f t="shared" si="30"/>
        <v>0</v>
      </c>
      <c r="L55" s="20">
        <f t="shared" si="31"/>
        <v>1</v>
      </c>
      <c r="M55" s="20">
        <f t="shared" si="31"/>
        <v>1</v>
      </c>
      <c r="N55" s="21">
        <f>G55*H55</f>
        <v>210</v>
      </c>
      <c r="O55" s="21">
        <f>G55*I55</f>
        <v>665</v>
      </c>
      <c r="P55" s="21">
        <f t="shared" ref="P55:S56" si="33">J55*$G55</f>
        <v>350</v>
      </c>
      <c r="Q55" s="21">
        <f t="shared" si="33"/>
        <v>0</v>
      </c>
      <c r="R55" s="21">
        <f t="shared" si="33"/>
        <v>350</v>
      </c>
      <c r="S55" s="21">
        <f t="shared" si="33"/>
        <v>350</v>
      </c>
      <c r="T55" s="22">
        <f>N55+O55</f>
        <v>875</v>
      </c>
      <c r="U55" s="22">
        <f t="shared" si="15"/>
        <v>350</v>
      </c>
      <c r="V55" s="22">
        <f t="shared" si="15"/>
        <v>0</v>
      </c>
      <c r="W55" s="22">
        <f t="shared" si="15"/>
        <v>350</v>
      </c>
      <c r="X55" s="22">
        <f t="shared" si="15"/>
        <v>350</v>
      </c>
      <c r="Y55" s="43">
        <v>0.6</v>
      </c>
      <c r="Z55" s="43">
        <v>1.9</v>
      </c>
      <c r="AA55" s="46">
        <v>1</v>
      </c>
      <c r="AB55" s="43">
        <v>0</v>
      </c>
      <c r="AC55" s="43">
        <v>1</v>
      </c>
      <c r="AD55" s="43">
        <v>2</v>
      </c>
    </row>
    <row r="56" spans="2:30" ht="25.15" customHeight="1">
      <c r="B56" s="34" t="s">
        <v>66</v>
      </c>
      <c r="C56" s="14" t="s">
        <v>70</v>
      </c>
      <c r="D56" s="9" t="s">
        <v>23</v>
      </c>
      <c r="E56" s="19"/>
      <c r="F56" s="19">
        <f>E56</f>
        <v>0</v>
      </c>
      <c r="G56" s="115">
        <v>250</v>
      </c>
      <c r="H56" s="20">
        <f t="shared" si="30"/>
        <v>0.6</v>
      </c>
      <c r="I56" s="20">
        <f t="shared" si="30"/>
        <v>1.9</v>
      </c>
      <c r="J56" s="29">
        <f t="shared" si="30"/>
        <v>1</v>
      </c>
      <c r="K56" s="20">
        <f t="shared" si="30"/>
        <v>0</v>
      </c>
      <c r="L56" s="20">
        <f t="shared" si="31"/>
        <v>1</v>
      </c>
      <c r="M56" s="20">
        <f t="shared" si="31"/>
        <v>1</v>
      </c>
      <c r="N56" s="21">
        <f>G56*H56</f>
        <v>150</v>
      </c>
      <c r="O56" s="21">
        <f>G56*I56</f>
        <v>475</v>
      </c>
      <c r="P56" s="21">
        <f t="shared" si="33"/>
        <v>250</v>
      </c>
      <c r="Q56" s="21">
        <f t="shared" si="33"/>
        <v>0</v>
      </c>
      <c r="R56" s="21">
        <f t="shared" si="33"/>
        <v>250</v>
      </c>
      <c r="S56" s="21">
        <f t="shared" si="33"/>
        <v>250</v>
      </c>
      <c r="T56" s="22">
        <f>N56+O56</f>
        <v>625</v>
      </c>
      <c r="U56" s="22">
        <f t="shared" si="15"/>
        <v>250</v>
      </c>
      <c r="V56" s="22">
        <f t="shared" si="15"/>
        <v>0</v>
      </c>
      <c r="W56" s="22">
        <f t="shared" si="15"/>
        <v>250</v>
      </c>
      <c r="X56" s="22">
        <f t="shared" si="15"/>
        <v>250</v>
      </c>
      <c r="Y56" s="43">
        <v>0.6</v>
      </c>
      <c r="Z56" s="43">
        <v>1.9</v>
      </c>
      <c r="AA56" s="46">
        <v>1</v>
      </c>
      <c r="AB56" s="43">
        <v>0</v>
      </c>
      <c r="AC56" s="43">
        <v>1</v>
      </c>
      <c r="AD56" s="43">
        <v>2</v>
      </c>
    </row>
    <row r="57" spans="2:30" ht="25.15" customHeight="1"/>
  </sheetData>
  <mergeCells count="4">
    <mergeCell ref="Y7:AD7"/>
    <mergeCell ref="H7:X7"/>
    <mergeCell ref="H6:M6"/>
    <mergeCell ref="N6:S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1FC1-B724-4C0F-908B-CA1C5C0EEAC8}">
  <dimension ref="B1:AF48"/>
  <sheetViews>
    <sheetView showGridLines="0" tabSelected="1" topLeftCell="E9" zoomScale="55" zoomScaleNormal="55" workbookViewId="0">
      <selection activeCell="G20" sqref="G20"/>
    </sheetView>
  </sheetViews>
  <sheetFormatPr defaultColWidth="11.5" defaultRowHeight="14.25"/>
  <cols>
    <col min="1" max="1" width="5.375" style="55" customWidth="1"/>
    <col min="2" max="2" width="4.875" style="55" customWidth="1"/>
    <col min="3" max="4" width="0" style="55" hidden="1" customWidth="1"/>
    <col min="5" max="5" width="71.625" style="55" customWidth="1"/>
    <col min="6" max="6" width="1.375" style="55" customWidth="1"/>
    <col min="7" max="7" width="29.625" style="55" customWidth="1"/>
    <col min="8" max="8" width="5.75" style="55" customWidth="1"/>
    <col min="9" max="9" width="3.125" style="55" customWidth="1"/>
    <col min="10" max="10" width="10.875" style="55" customWidth="1"/>
    <col min="11" max="11" width="12" style="55" bestFit="1" customWidth="1"/>
    <col min="12" max="12" width="9.875" style="55" bestFit="1" customWidth="1"/>
    <col min="13" max="14" width="12" style="55" bestFit="1" customWidth="1"/>
    <col min="15" max="15" width="4.625" style="55" customWidth="1"/>
    <col min="16" max="16" width="57.5" style="55" customWidth="1"/>
    <col min="17" max="17" width="3.75" style="55" customWidth="1"/>
    <col min="18" max="18" width="6.375" style="55" customWidth="1"/>
    <col min="19" max="19" width="11.5" style="55"/>
    <col min="20" max="20" width="12.125" style="55" bestFit="1" customWidth="1"/>
    <col min="21" max="21" width="11.5" style="55"/>
    <col min="22" max="33" width="11.5" style="55" customWidth="1"/>
    <col min="34" max="16384" width="11.5" style="55"/>
  </cols>
  <sheetData>
    <row r="1" spans="2:32" ht="5.25" customHeight="1" thickBot="1">
      <c r="B1" s="54"/>
      <c r="T1" s="113">
        <f ca="1">TODAY()</f>
        <v>45987</v>
      </c>
    </row>
    <row r="2" spans="2:32" ht="29.25" customHeight="1">
      <c r="B2" s="144" t="s">
        <v>11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6"/>
      <c r="T2" s="112"/>
    </row>
    <row r="3" spans="2:32" ht="29.25" customHeight="1" thickBot="1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9"/>
    </row>
    <row r="4" spans="2:32" ht="29.25" customHeight="1" thickBot="1">
      <c r="B4" s="150" t="s">
        <v>12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2"/>
    </row>
    <row r="5" spans="2:32" ht="24.75" customHeight="1" thickBot="1">
      <c r="B5" s="56"/>
      <c r="C5" s="57"/>
      <c r="D5" s="57"/>
      <c r="E5" s="57"/>
      <c r="F5" s="57"/>
      <c r="G5" s="57"/>
      <c r="H5" s="57"/>
      <c r="I5" s="58"/>
      <c r="J5" s="58"/>
      <c r="K5" s="58"/>
      <c r="L5" s="58"/>
      <c r="M5" s="58"/>
      <c r="N5" s="58"/>
      <c r="O5" s="58"/>
      <c r="P5" s="58"/>
      <c r="Q5" s="59"/>
    </row>
    <row r="6" spans="2:32" s="66" customFormat="1" ht="24.75" customHeight="1" thickBot="1">
      <c r="B6" s="60"/>
      <c r="C6" s="61"/>
      <c r="D6" s="61"/>
      <c r="E6" s="62" t="s">
        <v>14</v>
      </c>
      <c r="F6" s="61"/>
      <c r="G6" s="63"/>
      <c r="H6" s="61"/>
      <c r="I6" s="64"/>
      <c r="J6" s="64"/>
      <c r="K6" s="64"/>
      <c r="L6" s="64"/>
      <c r="M6" s="64"/>
      <c r="N6" s="64"/>
      <c r="O6" s="64"/>
      <c r="P6" s="64"/>
      <c r="Q6" s="65"/>
    </row>
    <row r="7" spans="2:32" s="66" customFormat="1" ht="24.75" customHeight="1">
      <c r="B7" s="60"/>
      <c r="C7" s="61"/>
      <c r="D7" s="61"/>
      <c r="E7" s="67"/>
      <c r="F7" s="61"/>
      <c r="G7" s="61"/>
      <c r="H7" s="61"/>
      <c r="I7" s="64"/>
      <c r="J7" s="64"/>
      <c r="K7" s="64"/>
      <c r="L7" s="64"/>
      <c r="M7" s="64"/>
      <c r="N7" s="64"/>
      <c r="O7" s="64"/>
      <c r="P7" s="64"/>
      <c r="Q7" s="65"/>
    </row>
    <row r="8" spans="2:32" ht="31.5" customHeight="1" thickBot="1">
      <c r="B8" s="56"/>
      <c r="C8" s="57"/>
      <c r="D8" s="57"/>
      <c r="E8" s="68" t="s">
        <v>15</v>
      </c>
      <c r="F8" s="57"/>
      <c r="G8" s="57"/>
      <c r="H8" s="57"/>
      <c r="I8" s="58"/>
      <c r="J8" s="58"/>
      <c r="K8" s="58"/>
      <c r="L8" s="58"/>
      <c r="M8" s="58"/>
      <c r="N8" s="58"/>
      <c r="O8" s="58"/>
      <c r="P8" s="58"/>
      <c r="Q8" s="59"/>
    </row>
    <row r="9" spans="2:32" ht="43.5" customHeight="1" thickBot="1">
      <c r="B9" s="56"/>
      <c r="C9" s="57"/>
      <c r="D9" s="57"/>
      <c r="E9" s="69" t="s">
        <v>13</v>
      </c>
      <c r="F9" s="70"/>
      <c r="G9" s="71">
        <f>SUBTOTAL(9,G13:G20)</f>
        <v>0</v>
      </c>
      <c r="H9" s="57"/>
      <c r="I9" s="58"/>
      <c r="J9" s="139" t="s">
        <v>0</v>
      </c>
      <c r="K9" s="140"/>
      <c r="L9" s="140"/>
      <c r="M9" s="140"/>
      <c r="N9" s="140"/>
      <c r="O9" s="140"/>
      <c r="P9" s="141"/>
      <c r="Q9" s="59"/>
      <c r="U9" s="72"/>
    </row>
    <row r="10" spans="2:32" ht="9.75" customHeight="1">
      <c r="B10" s="56"/>
      <c r="C10" s="57"/>
      <c r="D10" s="57"/>
      <c r="E10" s="73"/>
      <c r="F10" s="74"/>
      <c r="G10" s="75"/>
      <c r="H10" s="57"/>
      <c r="I10" s="58"/>
      <c r="J10" s="58"/>
      <c r="K10" s="58"/>
      <c r="L10" s="58"/>
      <c r="M10" s="58"/>
      <c r="N10" s="58"/>
      <c r="O10" s="58"/>
      <c r="P10" s="58"/>
      <c r="Q10" s="59"/>
    </row>
    <row r="11" spans="2:32" ht="26.25" customHeight="1" thickBot="1">
      <c r="B11" s="56"/>
      <c r="C11" s="57"/>
      <c r="D11" s="57"/>
      <c r="E11" s="76" t="s">
        <v>16</v>
      </c>
      <c r="F11" s="74"/>
      <c r="G11" s="75"/>
      <c r="H11" s="57"/>
      <c r="I11" s="58"/>
      <c r="J11" s="77"/>
      <c r="K11" s="153" t="s">
        <v>74</v>
      </c>
      <c r="L11" s="153"/>
      <c r="M11" s="153"/>
      <c r="N11" s="153"/>
      <c r="O11" s="58"/>
      <c r="P11" s="58"/>
      <c r="Q11" s="59"/>
    </row>
    <row r="12" spans="2:32" ht="67.5" customHeight="1" thickTop="1" thickBot="1">
      <c r="B12" s="78"/>
      <c r="C12" s="57"/>
      <c r="D12" s="57"/>
      <c r="E12" s="50" t="s">
        <v>44</v>
      </c>
      <c r="F12" s="57"/>
      <c r="G12" s="79" t="s">
        <v>17</v>
      </c>
      <c r="H12" s="57"/>
      <c r="I12" s="58"/>
      <c r="J12" s="110" t="s">
        <v>2</v>
      </c>
      <c r="K12" s="111" t="s">
        <v>3</v>
      </c>
      <c r="L12" s="82" t="s">
        <v>4</v>
      </c>
      <c r="M12" s="83" t="s">
        <v>5</v>
      </c>
      <c r="N12" s="84" t="s">
        <v>6</v>
      </c>
      <c r="O12" s="85"/>
      <c r="P12" s="58"/>
      <c r="Q12" s="59"/>
      <c r="W12" s="80" t="s">
        <v>2</v>
      </c>
      <c r="X12" s="81" t="s">
        <v>3</v>
      </c>
      <c r="Y12" s="82" t="s">
        <v>4</v>
      </c>
      <c r="Z12" s="83" t="s">
        <v>5</v>
      </c>
      <c r="AA12" s="84" t="s">
        <v>6</v>
      </c>
      <c r="AB12" s="80" t="s">
        <v>2</v>
      </c>
      <c r="AC12" s="81" t="s">
        <v>3</v>
      </c>
      <c r="AD12" s="82" t="s">
        <v>4</v>
      </c>
      <c r="AE12" s="83" t="s">
        <v>5</v>
      </c>
      <c r="AF12" s="84" t="s">
        <v>6</v>
      </c>
    </row>
    <row r="13" spans="2:32" ht="45" customHeight="1" thickTop="1" thickBot="1">
      <c r="B13" s="56"/>
      <c r="C13" s="57"/>
      <c r="D13" s="57"/>
      <c r="E13" s="86" t="str" cm="1">
        <f t="array" ref="E13:E20">IF(Poste="Hospitalisaton",Garantie!$C$12:$C$17,IF(Poste="Soins courants",Garantie!C20:$C$27,IF(Poste="Audio",Garantie!$C$29:$C$30,IF(Poste="Dentaire hors 100% SANTE (yc Ss)",Garantie!$C$32:$C$39,IF(Poste="Optique hors 100% SANTE (yc Ss)",Garantie!$C$41:$C$45,IF(Poste="Médecine douce",Garantie!$C$47:$C$51,IF(Poste="Autres soins",Garantie!$C$53:$C$56,"")))))))</f>
        <v>Soins dentaire : détartrage</v>
      </c>
      <c r="F13" s="57"/>
      <c r="G13" s="51"/>
      <c r="H13" s="57"/>
      <c r="I13" s="58"/>
      <c r="J13" s="120" t="str">
        <f>IF(AB13="","",AB13)</f>
        <v/>
      </c>
      <c r="K13" s="121" t="str">
        <f t="shared" ref="K13:K20" si="0">IF(AC13="","",AC13)</f>
        <v/>
      </c>
      <c r="L13" s="122" t="str">
        <f t="shared" ref="L13:L20" si="1">IF(AD13="","",AD13)</f>
        <v/>
      </c>
      <c r="M13" s="123" t="str">
        <f t="shared" ref="M13:M20" si="2">IF(AE13="","",AE13)</f>
        <v/>
      </c>
      <c r="N13" s="124" t="str">
        <f t="shared" ref="N13:N20" si="3">IF(AF13="","",AF13)</f>
        <v/>
      </c>
      <c r="O13" s="58"/>
      <c r="P13" s="58"/>
      <c r="Q13" s="59"/>
      <c r="W13" s="87" t="str">
        <f>IFERROR(
IF(Poste="Soins courants",
IF(OR($G13="",$G13=0),"",MIN(($G13),VLOOKUP($E13,Garantie!$C$11:$X$56,18,FALSE)) - 2),
IF(OR($G13="",$G13=0),"",MIN($G13,VLOOKUP($E13,Garantie!$C$11:$X$56,18,FALSE)))
),
"")</f>
        <v/>
      </c>
      <c r="X13" s="88" t="str">
        <f>IFERROR(
IF(OR($E13=Garantie!$C$48, $E13=Garantie!$C$49, $E13=Garantie!$C$50, $E13=Garantie!$C$51),
IF(OR($G13="",$G13=0),"",MIN(($G13*90%) - $W13,VLOOKUP($E13,Garantie!$C$11:$X$56,19,FALSE))),
(IFERROR(
IF(Poste="Soins courants",
IF(OR($G13="",$G13=0),"",MIN(($G13 - 2) - $W13,VLOOKUP($E13,Garantie!$C$11:$X$56,19,FALSE))),
IF(OR($G13="",$G13=0),"",MIN($G13 - $W13,VLOOKUP($E13,Garantie!$C$11:$X$56,19,FALSE)))
),
"")
)
),
"")</f>
        <v/>
      </c>
      <c r="Y13" s="89" t="str">
        <f>IFERROR(
IF(Poste="Soins courants",
IF(OR($G13="",$G13=0),"",MIN(($G13 - 2) - $W13 - $X13,VLOOKUP($E13,Garantie!$C$11:$X$56,20,FALSE))),
IF(OR($G13="",$G13=0),"",MIN($G13 - $W13 - $X13,VLOOKUP($E13,Garantie!$C$11:$X$56,20,FALSE)))
),
"")</f>
        <v/>
      </c>
      <c r="Z13" s="90" t="str">
        <f>IFERROR(
IF(Poste="Soins courants",
IF(OR($G13="",$G13=0),"",MIN(($G13 - 2) - $W13 - $X13 - $Y13,VLOOKUP($E13,Garantie!$C$11:$X$56,21,FALSE))),
IF(OR($G13="",$G13=0),"",MIN($G13 - $W13 - $X13 - $Y13,VLOOKUP($E13,Garantie!$C$11:$X$56,21,FALSE)))
),
"")</f>
        <v/>
      </c>
      <c r="AA13" s="91" t="str">
        <f>IFERROR(
IF(Poste="Soins courants",
IF(OR($G13="",$G13=0),"",MIN(($G13 - 2) - $W13 - $X13 - $Y13 - $Z13,VLOOKUP($E13,Garantie!$C$11:$X$56,22,FALSE))),
IF(OR($G13="",$G13=0),"",MIN($G13 - $W13 - $X13 - $Y13 - $Z13,VLOOKUP($E13,Garantie!$C$11:$X$56,22,FALSE)))
),
"")</f>
        <v/>
      </c>
      <c r="AB13" s="87" t="str">
        <f>IF(W13="","",W13)</f>
        <v/>
      </c>
      <c r="AC13" s="88" t="str">
        <f>IF(X13="","",X13)</f>
        <v/>
      </c>
      <c r="AD13" s="89" t="str">
        <f>IF(Y13="","",Y13)</f>
        <v/>
      </c>
      <c r="AE13" s="90" t="str">
        <f>IF(W13="","",AD13+Z13)</f>
        <v/>
      </c>
      <c r="AF13" s="91" t="str">
        <f>IF(W13="","",AE13+AA13)</f>
        <v/>
      </c>
    </row>
    <row r="14" spans="2:32" ht="45" customHeight="1" thickBot="1">
      <c r="B14" s="56"/>
      <c r="C14" s="57"/>
      <c r="D14" s="57"/>
      <c r="E14" s="92" t="str">
        <v>Inlay Onlay (BR 100€)</v>
      </c>
      <c r="F14" s="57"/>
      <c r="G14" s="52"/>
      <c r="H14" s="57"/>
      <c r="I14" s="58"/>
      <c r="J14" s="120" t="str">
        <f t="shared" ref="J14:J20" si="4">IF(AB14="","",AB14)</f>
        <v/>
      </c>
      <c r="K14" s="125" t="str">
        <f t="shared" si="0"/>
        <v/>
      </c>
      <c r="L14" s="122" t="str">
        <f t="shared" si="1"/>
        <v/>
      </c>
      <c r="M14" s="123" t="str">
        <f t="shared" si="2"/>
        <v/>
      </c>
      <c r="N14" s="124" t="str">
        <f t="shared" si="3"/>
        <v/>
      </c>
      <c r="O14" s="58"/>
      <c r="P14" s="58"/>
      <c r="Q14" s="59"/>
      <c r="W14" s="87" t="str">
        <f>IFERROR(
IF(Poste="Soins courants",
IF(OR($G14="",$G14=0),"",MIN(($G14),VLOOKUP($E14,Garantie!$C$11:$X$56,18,FALSE)) - 2),
IF(OR($G14="",$G14=0),"",MIN($G14,VLOOKUP($E14,Garantie!$C$11:$X$56,18,FALSE)))
),
"")</f>
        <v/>
      </c>
      <c r="X14" s="88" t="str">
        <f>IFERROR(
IF(OR($E14=Garantie!$C$48, $E14=Garantie!$C$49, $E14=Garantie!$C$50, $E14=Garantie!$C$51),
IF(OR($G14="",$G14=0),"",MIN(($G14*90%) - $W14,VLOOKUP($E14,Garantie!$C$11:$X$56,19,FALSE))),
(IFERROR(
IF(Poste="Soins courants",
IF(OR($G14="",$G14=0),"",MIN(($G14 - 2) - $W14,VLOOKUP($E14,Garantie!$C$11:$X$56,19,FALSE))),
IF(OR($G14="",$G14=0),"",MIN($G14 - $W14,VLOOKUP($E14,Garantie!$C$11:$X$56,19,FALSE)))
),
"")
)
),
"")</f>
        <v/>
      </c>
      <c r="Y14" s="89" t="str">
        <f>IFERROR(
IF(Poste="Soins courants",
IF(OR($G14="",$G14=0),"",MIN(($G14 - 2) - $W14 - $X14,VLOOKUP($E14,Garantie!$C$11:$X$56,20,FALSE))),
IF(OR($G14="",$G14=0),"",MIN($G14 - $W14 - $X14,VLOOKUP($E14,Garantie!$C$11:$X$56,20,FALSE)))
),
"")</f>
        <v/>
      </c>
      <c r="Z14" s="90" t="str">
        <f>IFERROR(
IF(Poste="Soins courants",
IF(OR($G14="",$G14=0),"",MIN(($G14 - 2) - $W14 - $X14 - $Y14,VLOOKUP($E14,Garantie!$C$11:$X$56,21,FALSE))),
IF(OR($G14="",$G14=0),"",MIN($G14 - $W14 - $X14 - $Y14,VLOOKUP($E14,Garantie!$C$11:$X$56,21,FALSE)))
),
"")</f>
        <v/>
      </c>
      <c r="AA14" s="91" t="str">
        <f>IFERROR(
IF(Poste="Soins courants",
IF(OR($G14="",$G14=0),"",MIN(($G14 - 2) - $W14 - $X14 - $Y14 - $Z14,VLOOKUP($E14,Garantie!$C$11:$X$56,22,FALSE))),
IF(OR($G14="",$G14=0),"",MIN($G14 - $W14 - $X14 - $Y14 - $Z14,VLOOKUP($E14,Garantie!$C$11:$X$56,22,FALSE)))
),
"")</f>
        <v/>
      </c>
      <c r="AB14" s="87" t="str">
        <f t="shared" ref="AB14:AB20" si="5">IF(W14="","",W14)</f>
        <v/>
      </c>
      <c r="AC14" s="88" t="str">
        <f t="shared" ref="AC14:AC20" si="6">IF(X14="","",X14)</f>
        <v/>
      </c>
      <c r="AD14" s="89" t="str">
        <f t="shared" ref="AD14:AD20" si="7">IF(Y14="","",Y14)</f>
        <v/>
      </c>
      <c r="AE14" s="90" t="str">
        <f t="shared" ref="AE14:AE20" si="8">IF(W14="","",AD14+Z14)</f>
        <v/>
      </c>
      <c r="AF14" s="91" t="str">
        <f t="shared" ref="AF14:AF20" si="9">IF(W14="","",AE14+AA14)</f>
        <v/>
      </c>
    </row>
    <row r="15" spans="2:32" ht="45" customHeight="1" thickBot="1">
      <c r="B15" s="56"/>
      <c r="C15" s="57"/>
      <c r="D15" s="57"/>
      <c r="E15" s="92" t="str">
        <v>Pose d’une couronne dentaire céramique monolithique (zircone) sur une molaire (BR 120€)</v>
      </c>
      <c r="F15" s="57"/>
      <c r="G15" s="52"/>
      <c r="H15" s="57"/>
      <c r="I15" s="58"/>
      <c r="J15" s="120" t="str">
        <f t="shared" si="4"/>
        <v/>
      </c>
      <c r="K15" s="125" t="str">
        <f t="shared" si="0"/>
        <v/>
      </c>
      <c r="L15" s="122" t="str">
        <f t="shared" si="1"/>
        <v/>
      </c>
      <c r="M15" s="123" t="str">
        <f t="shared" si="2"/>
        <v/>
      </c>
      <c r="N15" s="124" t="str">
        <f t="shared" si="3"/>
        <v/>
      </c>
      <c r="O15" s="58"/>
      <c r="P15" s="58"/>
      <c r="Q15" s="59"/>
      <c r="W15" s="87" t="str">
        <f>IFERROR(
IF(Poste="Soins courants",
IF(OR($G15="",$G15=0),"",MIN(($G15),VLOOKUP($E15,Garantie!$C$11:$X$56,18,FALSE)) - 2),
IF(OR($G15="",$G15=0),"",MIN($G15,VLOOKUP($E15,Garantie!$C$11:$X$56,18,FALSE)))
),
"")</f>
        <v/>
      </c>
      <c r="X15" s="88" t="str">
        <f>IFERROR(
IF(OR($E15=Garantie!$C$48, $E15=Garantie!$C$49, $E15=Garantie!$C$50, $E15=Garantie!$C$51),
IF(OR($G15="",$G15=0),"",MIN(($G15*90%) - $W15,VLOOKUP($E15,Garantie!$C$11:$X$56,19,FALSE))),
(IFERROR(
IF(Poste="Soins courants",
IF(OR($G15="",$G15=0),"",MIN(($G15 - 2) - $W15,VLOOKUP($E15,Garantie!$C$11:$X$56,19,FALSE))),
IF(OR($G15="",$G15=0),"",MIN($G15 - $W15,VLOOKUP($E15,Garantie!$C$11:$X$56,19,FALSE)))
),
"")
)
),
"")</f>
        <v/>
      </c>
      <c r="Y15" s="89" t="str">
        <f>IFERROR(
IF(Poste="Soins courants",
IF(OR($G15="",$G15=0),"",MIN(($G15 - 2) - $W15 - $X15,VLOOKUP($E15,Garantie!$C$11:$X$56,20,FALSE))),
IF(OR($G15="",$G15=0),"",MIN($G15 - $W15 - $X15,VLOOKUP($E15,Garantie!$C$11:$X$56,20,FALSE)))
),
"")</f>
        <v/>
      </c>
      <c r="Z15" s="90" t="str">
        <f>IFERROR(
IF(Poste="Soins courants",
IF(OR($G15="",$G15=0),"",MIN(($G15 - 2) - $W15 - $X15 - $Y15,VLOOKUP($E15,Garantie!$C$11:$X$56,21,FALSE))),
IF(OR($G15="",$G15=0),"",MIN($G15 - $W15 - $X15 - $Y15,VLOOKUP($E15,Garantie!$C$11:$X$56,21,FALSE)))
),
"")</f>
        <v/>
      </c>
      <c r="AA15" s="91" t="str">
        <f>IFERROR(
IF(Poste="Soins courants",
IF(OR($G15="",$G15=0),"",MIN(($G15 - 2) - $W15 - $X15 - $Y15 - $Z15,VLOOKUP($E15,Garantie!$C$11:$X$56,22,FALSE))),
IF(OR($G15="",$G15=0),"",MIN($G15 - $W15 - $X15 - $Y15 - $Z15,VLOOKUP($E15,Garantie!$C$11:$X$56,22,FALSE)))
),
"")</f>
        <v/>
      </c>
      <c r="AB15" s="87" t="str">
        <f t="shared" si="5"/>
        <v/>
      </c>
      <c r="AC15" s="88" t="str">
        <f t="shared" si="6"/>
        <v/>
      </c>
      <c r="AD15" s="89" t="str">
        <f t="shared" si="7"/>
        <v/>
      </c>
      <c r="AE15" s="90" t="str">
        <f t="shared" si="8"/>
        <v/>
      </c>
      <c r="AF15" s="91" t="str">
        <f t="shared" si="9"/>
        <v/>
      </c>
    </row>
    <row r="16" spans="2:32" ht="45" customHeight="1" thickBot="1">
      <c r="B16" s="56"/>
      <c r="C16" s="57"/>
      <c r="D16" s="57"/>
      <c r="E16" s="92" t="str">
        <v>Implantologie : maximum 5 par année civile et par bénéficiaires</v>
      </c>
      <c r="F16" s="57"/>
      <c r="G16" s="52"/>
      <c r="H16" s="57"/>
      <c r="I16" s="58"/>
      <c r="J16" s="120" t="str">
        <f t="shared" si="4"/>
        <v/>
      </c>
      <c r="K16" s="125" t="str">
        <f t="shared" si="0"/>
        <v/>
      </c>
      <c r="L16" s="122" t="str">
        <f t="shared" si="1"/>
        <v/>
      </c>
      <c r="M16" s="123" t="str">
        <f t="shared" si="2"/>
        <v/>
      </c>
      <c r="N16" s="124" t="str">
        <f t="shared" si="3"/>
        <v/>
      </c>
      <c r="O16" s="58"/>
      <c r="P16" s="58"/>
      <c r="Q16" s="59"/>
      <c r="W16" s="87" t="str">
        <f>IFERROR(
IF(Poste="Soins courants",
IF(OR($G16="",$G16=0),"",MIN(($G16),VLOOKUP($E16,Garantie!$C$11:$X$56,18,FALSE)) - 2),
IF(OR($G16="",$G16=0),"",MIN($G16,VLOOKUP($E16,Garantie!$C$11:$X$56,18,FALSE)))
),
"")</f>
        <v/>
      </c>
      <c r="X16" s="88" t="str">
        <f>IFERROR(
IF(OR($E16=Garantie!$C$48, $E16=Garantie!$C$49, $E16=Garantie!$C$50, $E16=Garantie!$C$51),
IF(OR($G16="",$G16=0),"",MIN(($G16*90%) - $W16,VLOOKUP($E16,Garantie!$C$11:$X$56,19,FALSE))),
(IFERROR(
IF(Poste="Soins courants",
IF(OR($G16="",$G16=0),"",MIN(($G16 - 2) - $W16,VLOOKUP($E16,Garantie!$C$11:$X$56,19,FALSE))),
IF(OR($G16="",$G16=0),"",MIN($G16 - $W16,VLOOKUP($E16,Garantie!$C$11:$X$56,19,FALSE)))
),
"")
)
),
"")</f>
        <v/>
      </c>
      <c r="Y16" s="89" t="str">
        <f>IFERROR(
IF(Poste="Soins courants",
IF(OR($G16="",$G16=0),"",MIN(($G16 - 2) - $W16 - $X16,VLOOKUP($E16,Garantie!$C$11:$X$56,20,FALSE))),
IF(OR($G16="",$G16=0),"",MIN($G16 - $W16 - $X16,VLOOKUP($E16,Garantie!$C$11:$X$56,20,FALSE)))
),
"")</f>
        <v/>
      </c>
      <c r="Z16" s="90" t="str">
        <f>IFERROR(
IF(Poste="Soins courants",
IF(OR($G16="",$G16=0),"",MIN(($G16 - 2) - $W16 - $X16 - $Y16,VLOOKUP($E16,Garantie!$C$11:$X$56,21,FALSE))),
IF(OR($G16="",$G16=0),"",MIN($G16 - $W16 - $X16 - $Y16,VLOOKUP($E16,Garantie!$C$11:$X$56,21,FALSE)))
),
"")</f>
        <v/>
      </c>
      <c r="AA16" s="91" t="str">
        <f>IFERROR(
IF(Poste="Soins courants",
IF(OR($G16="",$G16=0),"",MIN(($G16 - 2) - $W16 - $X16 - $Y16 - $Z16,VLOOKUP($E16,Garantie!$C$11:$X$56,22,FALSE))),
IF(OR($G16="",$G16=0),"",MIN($G16 - $W16 - $X16 - $Y16 - $Z16,VLOOKUP($E16,Garantie!$C$11:$X$56,22,FALSE)))
),
"")</f>
        <v/>
      </c>
      <c r="AB16" s="87" t="str">
        <f t="shared" si="5"/>
        <v/>
      </c>
      <c r="AC16" s="88" t="str">
        <f t="shared" si="6"/>
        <v/>
      </c>
      <c r="AD16" s="89" t="str">
        <f t="shared" si="7"/>
        <v/>
      </c>
      <c r="AE16" s="90" t="str">
        <f t="shared" si="8"/>
        <v/>
      </c>
      <c r="AF16" s="91" t="str">
        <f t="shared" si="9"/>
        <v/>
      </c>
    </row>
    <row r="17" spans="2:32" ht="45" customHeight="1" thickBot="1">
      <c r="B17" s="56"/>
      <c r="C17" s="57"/>
      <c r="D17" s="57"/>
      <c r="E17" s="92" t="str">
        <v>Prothèses dentaires non remboursées par la Sécurité sociale (hors – implantologie) (BR reconstituée 120€)</v>
      </c>
      <c r="F17" s="57"/>
      <c r="G17" s="52"/>
      <c r="H17" s="57"/>
      <c r="I17" s="58"/>
      <c r="J17" s="120" t="str">
        <f t="shared" si="4"/>
        <v/>
      </c>
      <c r="K17" s="125" t="str">
        <f t="shared" si="0"/>
        <v/>
      </c>
      <c r="L17" s="122" t="str">
        <f t="shared" si="1"/>
        <v/>
      </c>
      <c r="M17" s="123" t="str">
        <f t="shared" si="2"/>
        <v/>
      </c>
      <c r="N17" s="124" t="str">
        <f t="shared" si="3"/>
        <v/>
      </c>
      <c r="O17" s="58"/>
      <c r="P17" s="58"/>
      <c r="Q17" s="59"/>
      <c r="W17" s="87" t="str">
        <f>IFERROR(
IF(Poste="Soins courants",
IF(OR($G17="",$G17=0),"",MIN(($G17),VLOOKUP($E17,Garantie!$C$11:$X$56,18,FALSE)) - 2),
IF(OR($G17="",$G17=0),"",MIN($G17,VLOOKUP($E17,Garantie!$C$11:$X$56,18,FALSE)))
),
"")</f>
        <v/>
      </c>
      <c r="X17" s="88" t="str">
        <f>IFERROR(
IF(OR($E17=Garantie!$C$48, $E17=Garantie!$C$49, $E17=Garantie!$C$50, $E17=Garantie!$C$51),
IF(OR($G17="",$G17=0),"",MIN(($G17*90%) - $W17,VLOOKUP($E17,Garantie!$C$11:$X$56,19,FALSE))),
(IFERROR(
IF(Poste="Soins courants",
IF(OR($G17="",$G17=0),"",MIN(($G17 - 2) - $W17,VLOOKUP($E17,Garantie!$C$11:$X$56,19,FALSE))),
IF(OR($G17="",$G17=0),"",MIN($G17 - $W17,VLOOKUP($E17,Garantie!$C$11:$X$56,19,FALSE)))
),
"")
)
),
"")</f>
        <v/>
      </c>
      <c r="Y17" s="89" t="str">
        <f>IFERROR(
IF(Poste="Soins courants",
IF(OR($G17="",$G17=0),"",MIN(($G17 - 2) - $W17 - $X17,VLOOKUP($E17,Garantie!$C$11:$X$56,20,FALSE))),
IF(OR($G17="",$G17=0),"",MIN($G17 - $W17 - $X17,VLOOKUP($E17,Garantie!$C$11:$X$56,20,FALSE)))
),
"")</f>
        <v/>
      </c>
      <c r="Z17" s="90" t="str">
        <f>IFERROR(
IF(Poste="Soins courants",
IF(OR($G17="",$G17=0),"",MIN(($G17 - 2) - $W17 - $X17 - $Y17,VLOOKUP($E17,Garantie!$C$11:$X$56,21,FALSE))),
IF(OR($G17="",$G17=0),"",MIN($G17 - $W17 - $X17 - $Y17,VLOOKUP($E17,Garantie!$C$11:$X$56,21,FALSE)))
),
"")</f>
        <v/>
      </c>
      <c r="AA17" s="91" t="str">
        <f>IFERROR(
IF(Poste="Soins courants",
IF(OR($G17="",$G17=0),"",MIN(($G17 - 2) - $W17 - $X17 - $Y17 - $Z17,VLOOKUP($E17,Garantie!$C$11:$X$56,22,FALSE))),
IF(OR($G17="",$G17=0),"",MIN($G17 - $W17 - $X17 - $Y17 - $Z17,VLOOKUP($E17,Garantie!$C$11:$X$56,22,FALSE)))
),
"")</f>
        <v/>
      </c>
      <c r="AB17" s="87" t="str">
        <f t="shared" si="5"/>
        <v/>
      </c>
      <c r="AC17" s="88" t="str">
        <f t="shared" si="6"/>
        <v/>
      </c>
      <c r="AD17" s="89" t="str">
        <f t="shared" si="7"/>
        <v/>
      </c>
      <c r="AE17" s="90" t="str">
        <f t="shared" si="8"/>
        <v/>
      </c>
      <c r="AF17" s="91" t="str">
        <f t="shared" si="9"/>
        <v/>
      </c>
    </row>
    <row r="18" spans="2:32" ht="45" customHeight="1" thickBot="1">
      <c r="B18" s="56"/>
      <c r="C18" s="57"/>
      <c r="D18" s="57"/>
      <c r="E18" s="92" t="str">
        <v>Orthodontie remboursée par la Sécurité sociale (BR 193.5€ pour un semestre)</v>
      </c>
      <c r="F18" s="57"/>
      <c r="G18" s="52"/>
      <c r="H18" s="57"/>
      <c r="I18" s="58"/>
      <c r="J18" s="120" t="str">
        <f t="shared" si="4"/>
        <v/>
      </c>
      <c r="K18" s="125" t="str">
        <f t="shared" si="0"/>
        <v/>
      </c>
      <c r="L18" s="122" t="str">
        <f t="shared" si="1"/>
        <v/>
      </c>
      <c r="M18" s="123" t="str">
        <f t="shared" si="2"/>
        <v/>
      </c>
      <c r="N18" s="124" t="str">
        <f t="shared" si="3"/>
        <v/>
      </c>
      <c r="O18" s="58"/>
      <c r="P18" s="58"/>
      <c r="Q18" s="59"/>
      <c r="W18" s="87" t="str">
        <f>IFERROR(
IF(Poste="Soins courants",
IF(OR($G18="",$G18=0),"",MIN(($G18),VLOOKUP($E18,Garantie!$C$11:$X$56,18,FALSE)) - 2),
IF(OR($G18="",$G18=0),"",MIN($G18,VLOOKUP($E18,Garantie!$C$11:$X$56,18,FALSE)))
),
"")</f>
        <v/>
      </c>
      <c r="X18" s="88" t="str">
        <f>IFERROR(
IF(OR($E18=Garantie!$C$48, $E18=Garantie!$C$49, $E18=Garantie!$C$50, $E18=Garantie!$C$51),
IF(OR($G18="",$G18=0),"",MIN(($G18*90%) - $W18,VLOOKUP($E18,Garantie!$C$11:$X$56,19,FALSE))),
(IFERROR(
IF(Poste="Soins courants",
IF(OR($G18="",$G18=0),"",MIN(($G18 - 2) - $W18,VLOOKUP($E18,Garantie!$C$11:$X$56,19,FALSE))),
IF(OR($G18="",$G18=0),"",MIN($G18 - $W18,VLOOKUP($E18,Garantie!$C$11:$X$56,19,FALSE)))
),
"")
)
),
"")</f>
        <v/>
      </c>
      <c r="Y18" s="89" t="str">
        <f>IFERROR(
IF(Poste="Soins courants",
IF(OR($G18="",$G18=0),"",MIN(($G18 - 2) - $W18 - $X18,VLOOKUP($E18,Garantie!$C$11:$X$56,20,FALSE))),
IF(OR($G18="",$G18=0),"",MIN($G18 - $W18 - $X18,VLOOKUP($E18,Garantie!$C$11:$X$56,20,FALSE)))
),
"")</f>
        <v/>
      </c>
      <c r="Z18" s="90" t="str">
        <f>IFERROR(
IF(Poste="Soins courants",
IF(OR($G18="",$G18=0),"",MIN(($G18 - 2) - $W18 - $X18 - $Y18,VLOOKUP($E18,Garantie!$C$11:$X$56,21,FALSE))),
IF(OR($G18="",$G18=0),"",MIN($G18 - $W18 - $X18 - $Y18,VLOOKUP($E18,Garantie!$C$11:$X$56,21,FALSE)))
),
"")</f>
        <v/>
      </c>
      <c r="AA18" s="91" t="str">
        <f>IFERROR(
IF(Poste="Soins courants",
IF(OR($G18="",$G18=0),"",MIN(($G18 - 2) - $W18 - $X18 - $Y18 - $Z18,VLOOKUP($E18,Garantie!$C$11:$X$56,22,FALSE))),
IF(OR($G18="",$G18=0),"",MIN($G18 - $W18 - $X18 - $Y18 - $Z18,VLOOKUP($E18,Garantie!$C$11:$X$56,22,FALSE)))
),
"")</f>
        <v/>
      </c>
      <c r="AB18" s="87" t="str">
        <f t="shared" si="5"/>
        <v/>
      </c>
      <c r="AC18" s="88" t="str">
        <f t="shared" si="6"/>
        <v/>
      </c>
      <c r="AD18" s="89" t="str">
        <f t="shared" si="7"/>
        <v/>
      </c>
      <c r="AE18" s="90" t="str">
        <f t="shared" si="8"/>
        <v/>
      </c>
      <c r="AF18" s="91" t="str">
        <f t="shared" si="9"/>
        <v/>
      </c>
    </row>
    <row r="19" spans="2:32" ht="45" customHeight="1" thickBot="1">
      <c r="B19" s="56"/>
      <c r="C19" s="57"/>
      <c r="D19" s="57"/>
      <c r="E19" s="92" t="str">
        <v>Orthodontie non remboursée par la Sécurité sociale (BR 193.5€ pour un semestre)</v>
      </c>
      <c r="F19" s="57"/>
      <c r="G19" s="52"/>
      <c r="H19" s="57"/>
      <c r="I19" s="58"/>
      <c r="J19" s="120" t="str">
        <f t="shared" si="4"/>
        <v/>
      </c>
      <c r="K19" s="125" t="str">
        <f t="shared" si="0"/>
        <v/>
      </c>
      <c r="L19" s="122" t="str">
        <f t="shared" si="1"/>
        <v/>
      </c>
      <c r="M19" s="123" t="str">
        <f t="shared" si="2"/>
        <v/>
      </c>
      <c r="N19" s="124" t="str">
        <f t="shared" si="3"/>
        <v/>
      </c>
      <c r="O19" s="58"/>
      <c r="P19" s="58"/>
      <c r="Q19" s="59"/>
      <c r="W19" s="87" t="str">
        <f>IFERROR(
IF(Poste="Soins courants",
IF(OR($G19="",$G19=0),"",MIN(($G19),VLOOKUP($E19,Garantie!$C$11:$X$56,18,FALSE)) - 2),
IF(OR($G19="",$G19=0),"",MIN($G19,VLOOKUP($E19,Garantie!$C$11:$X$56,18,FALSE)))
),
"")</f>
        <v/>
      </c>
      <c r="X19" s="88" t="str">
        <f>IFERROR(
IF(OR($E19=Garantie!$C$48, $E19=Garantie!$C$49, $E19=Garantie!$C$50, $E19=Garantie!$C$51),
IF(OR($G19="",$G19=0),"",MIN(($G19*90%) - $W19,VLOOKUP($E19,Garantie!$C$11:$X$56,19,FALSE))),
(IFERROR(
IF(Poste="Soins courants",
IF(OR($G19="",$G19=0),"",MIN(($G19 - 2) - $W19,VLOOKUP($E19,Garantie!$C$11:$X$56,19,FALSE))),
IF(OR($G19="",$G19=0),"",MIN($G19 - $W19,VLOOKUP($E19,Garantie!$C$11:$X$56,19,FALSE)))
),
"")
)
),
"")</f>
        <v/>
      </c>
      <c r="Y19" s="89" t="str">
        <f>IFERROR(
IF(Poste="Soins courants",
IF(OR($G19="",$G19=0),"",MIN(($G19 - 2) - $W19 - $X19,VLOOKUP($E19,Garantie!$C$11:$X$56,20,FALSE))),
IF(OR($G19="",$G19=0),"",MIN($G19 - $W19 - $X19,VLOOKUP($E19,Garantie!$C$11:$X$56,20,FALSE)))
),
"")</f>
        <v/>
      </c>
      <c r="Z19" s="90" t="str">
        <f>IFERROR(
IF(Poste="Soins courants",
IF(OR($G19="",$G19=0),"",MIN(($G19 - 2) - $W19 - $X19 - $Y19,VLOOKUP($E19,Garantie!$C$11:$X$56,21,FALSE))),
IF(OR($G19="",$G19=0),"",MIN($G19 - $W19 - $X19 - $Y19,VLOOKUP($E19,Garantie!$C$11:$X$56,21,FALSE)))
),
"")</f>
        <v/>
      </c>
      <c r="AA19" s="91" t="str">
        <f>IFERROR(
IF(Poste="Soins courants",
IF(OR($G19="",$G19=0),"",MIN(($G19 - 2) - $W19 - $X19 - $Y19 - $Z19,VLOOKUP($E19,Garantie!$C$11:$X$56,22,FALSE))),
IF(OR($G19="",$G19=0),"",MIN($G19 - $W19 - $X19 - $Y19 - $Z19,VLOOKUP($E19,Garantie!$C$11:$X$56,22,FALSE)))
),
"")</f>
        <v/>
      </c>
      <c r="AB19" s="87" t="str">
        <f t="shared" si="5"/>
        <v/>
      </c>
      <c r="AC19" s="88" t="str">
        <f t="shared" si="6"/>
        <v/>
      </c>
      <c r="AD19" s="89" t="str">
        <f t="shared" si="7"/>
        <v/>
      </c>
      <c r="AE19" s="90" t="str">
        <f t="shared" si="8"/>
        <v/>
      </c>
      <c r="AF19" s="91" t="str">
        <f t="shared" si="9"/>
        <v/>
      </c>
    </row>
    <row r="20" spans="2:32" ht="45" customHeight="1" thickBot="1">
      <c r="B20" s="56"/>
      <c r="C20" s="57"/>
      <c r="D20" s="57"/>
      <c r="E20" s="93" t="str">
        <v>Parodontologie non remboursée par la Sécurité sociale</v>
      </c>
      <c r="F20" s="57"/>
      <c r="G20" s="53"/>
      <c r="H20" s="57"/>
      <c r="I20" s="58"/>
      <c r="J20" s="126" t="str">
        <f t="shared" si="4"/>
        <v/>
      </c>
      <c r="K20" s="127" t="str">
        <f t="shared" si="0"/>
        <v/>
      </c>
      <c r="L20" s="128" t="str">
        <f t="shared" si="1"/>
        <v/>
      </c>
      <c r="M20" s="129" t="str">
        <f t="shared" si="2"/>
        <v/>
      </c>
      <c r="N20" s="130" t="str">
        <f t="shared" si="3"/>
        <v/>
      </c>
      <c r="O20" s="58"/>
      <c r="P20" s="58"/>
      <c r="Q20" s="59"/>
      <c r="W20" s="94" t="str">
        <f>IFERROR(
IF(Poste="Soins courants",
IF(OR($G20="",$G20=0),"",MIN(($G20),VLOOKUP($E20,Garantie!$C$11:$X$56,18,FALSE)) - 2),
IF(OR($G20="",$G20=0),"",MIN($G20,VLOOKUP($E20,Garantie!$C$11:$X$56,18,FALSE)))
),
"")</f>
        <v/>
      </c>
      <c r="X20" s="95" t="str">
        <f>IFERROR(
IF(OR($E20=Garantie!$C$48, $E20=Garantie!$C$49, $E20=Garantie!$C$50, $E20=Garantie!$C$51),
IF(OR($G20="",$G20=0),"",MIN(($G20*90%) - $W20,VLOOKUP($E20,Garantie!$C$11:$X$56,19,FALSE))),
(IFERROR(
IF(Poste="Soins courants",
IF(OR($G20="",$G20=0),"",MIN(($G20 - 2) - $W20,VLOOKUP($E20,Garantie!$C$11:$X$56,19,FALSE))),
IF(OR($G20="",$G20=0),"",MIN($G20 - $W20,VLOOKUP($E20,Garantie!$C$11:$X$56,19,FALSE)))
),
"")
)
),
"")</f>
        <v/>
      </c>
      <c r="Y20" s="96" t="str">
        <f>IFERROR(
IF(Poste="Soins courants",
IF(OR($G20="",$G20=0),"",MIN(($G20 - 2) - $W20 - $X20,VLOOKUP($E20,Garantie!$C$11:$X$56,20,FALSE))),
IF(OR($G20="",$G20=0),"",MIN($G20 - $W20 - $X20,VLOOKUP($E20,Garantie!$C$11:$X$56,20,FALSE)))
),
"")</f>
        <v/>
      </c>
      <c r="Z20" s="97" t="str">
        <f>IFERROR(
IF(Poste="Soins courants",
IF(OR($G20="",$G20=0),"",MIN(($G20 - 2) - $W20 - $X20 - $Y20,VLOOKUP($E20,Garantie!$C$11:$X$56,21,FALSE))),
IF(OR($G20="",$G20=0),"",MIN($G20 - $W20 - $X20 - $Y20,VLOOKUP($E20,Garantie!$C$11:$X$56,21,FALSE)))
),
"")</f>
        <v/>
      </c>
      <c r="AA20" s="98" t="str">
        <f>IFERROR(
IF(Poste="Soins courants",
IF(OR($G20="",$G20=0),"",MIN(($G20 - 2) - $W20 - $X20 - $Y20 - $Z20,VLOOKUP($E20,Garantie!$C$11:$X$56,22,FALSE))),
IF(OR($G20="",$G20=0),"",MIN($G20 - $W20 - $X20 - $Y20 - $Z20,VLOOKUP($E20,Garantie!$C$11:$X$56,22,FALSE)))
),
"")</f>
        <v/>
      </c>
      <c r="AB20" s="94" t="str">
        <f t="shared" si="5"/>
        <v/>
      </c>
      <c r="AC20" s="95" t="str">
        <f t="shared" si="6"/>
        <v/>
      </c>
      <c r="AD20" s="96" t="str">
        <f t="shared" si="7"/>
        <v/>
      </c>
      <c r="AE20" s="97" t="str">
        <f t="shared" si="8"/>
        <v/>
      </c>
      <c r="AF20" s="98" t="str">
        <f t="shared" si="9"/>
        <v/>
      </c>
    </row>
    <row r="21" spans="2:32" ht="16.5" customHeight="1">
      <c r="B21" s="56"/>
      <c r="C21" s="57"/>
      <c r="D21" s="57"/>
      <c r="E21" s="57"/>
      <c r="F21" s="57"/>
      <c r="G21" s="57"/>
      <c r="H21" s="57"/>
      <c r="I21" s="58"/>
      <c r="J21" s="58"/>
      <c r="K21" s="58"/>
      <c r="L21" s="58"/>
      <c r="M21" s="58"/>
      <c r="N21" s="58"/>
      <c r="O21" s="58"/>
      <c r="P21" s="58"/>
      <c r="Q21" s="59"/>
    </row>
    <row r="22" spans="2:32" ht="24.95" customHeight="1">
      <c r="B22" s="56"/>
      <c r="C22" s="57"/>
      <c r="D22" s="57"/>
      <c r="E22" s="142" t="s">
        <v>77</v>
      </c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99"/>
    </row>
    <row r="23" spans="2:32" ht="24.95" customHeight="1">
      <c r="B23" s="56"/>
      <c r="C23" s="57"/>
      <c r="D23" s="57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99"/>
    </row>
    <row r="24" spans="2:32" ht="24.95" customHeight="1" thickBot="1">
      <c r="B24" s="100"/>
      <c r="C24" s="101"/>
      <c r="D24" s="101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02"/>
    </row>
    <row r="25" spans="2:32" ht="24.95" customHeight="1"/>
    <row r="38" spans="5:16"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</row>
    <row r="39" spans="5:16"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</row>
    <row r="40" spans="5:16"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</row>
    <row r="41" spans="5:16" ht="28.5">
      <c r="E41" s="103" t="s">
        <v>26</v>
      </c>
      <c r="F41" s="103"/>
      <c r="G41" s="103"/>
      <c r="H41" s="103"/>
      <c r="I41" s="103"/>
      <c r="J41" s="103"/>
      <c r="K41" s="104" t="s">
        <v>3</v>
      </c>
      <c r="L41" s="104" t="s">
        <v>4</v>
      </c>
      <c r="M41" s="104" t="s">
        <v>5</v>
      </c>
      <c r="N41" s="104" t="s">
        <v>6</v>
      </c>
      <c r="O41" s="103"/>
      <c r="P41" s="103"/>
    </row>
    <row r="42" spans="5:16">
      <c r="E42" s="103" t="s">
        <v>1</v>
      </c>
      <c r="F42" s="103"/>
      <c r="G42" s="103"/>
      <c r="H42" s="103"/>
      <c r="I42" s="103"/>
      <c r="J42" s="105" t="s">
        <v>2</v>
      </c>
      <c r="K42" s="106">
        <f>SUM($W$13:$W$20)</f>
        <v>0</v>
      </c>
      <c r="L42" s="106">
        <f>SUM($W$13:$W$20)</f>
        <v>0</v>
      </c>
      <c r="M42" s="106">
        <f>SUM($W$13:$W$20)</f>
        <v>0</v>
      </c>
      <c r="N42" s="106">
        <f>SUM($W$13:$W$20)</f>
        <v>0</v>
      </c>
      <c r="O42" s="103"/>
      <c r="P42" s="103"/>
    </row>
    <row r="43" spans="5:16">
      <c r="E43" s="103" t="s">
        <v>41</v>
      </c>
      <c r="F43" s="103"/>
      <c r="G43" s="103"/>
      <c r="H43" s="103"/>
      <c r="I43" s="103"/>
      <c r="J43" s="105" t="s">
        <v>7</v>
      </c>
      <c r="K43" s="106">
        <f>SUM($X$13:$X$20)</f>
        <v>0</v>
      </c>
      <c r="L43" s="106">
        <f>SUM($X$13:$Y$20)</f>
        <v>0</v>
      </c>
      <c r="M43" s="106">
        <f>SUM($X$13:$Z$20)</f>
        <v>0</v>
      </c>
      <c r="N43" s="106">
        <f>SUM($X$13:$AA$20)</f>
        <v>0</v>
      </c>
      <c r="O43" s="103"/>
      <c r="P43" s="103"/>
    </row>
    <row r="44" spans="5:16" ht="15">
      <c r="E44" s="103" t="s">
        <v>44</v>
      </c>
      <c r="F44" s="103"/>
      <c r="G44" s="103"/>
      <c r="H44" s="103"/>
      <c r="I44" s="103"/>
      <c r="J44" s="105" t="s">
        <v>8</v>
      </c>
      <c r="K44" s="107">
        <f>SUM($G$13:$G$20)-K$42-K$43</f>
        <v>0</v>
      </c>
      <c r="L44" s="107">
        <f>SUM($G$13:$G$20)-L$42-L$43</f>
        <v>0</v>
      </c>
      <c r="M44" s="107">
        <f>SUM($G$13:$G$20)-M$42-M$43</f>
        <v>0</v>
      </c>
      <c r="N44" s="107">
        <f>SUM($G$13:$G$20)-N$42-N$43</f>
        <v>0</v>
      </c>
      <c r="O44" s="103"/>
      <c r="P44" s="103"/>
    </row>
    <row r="45" spans="5:16" ht="15">
      <c r="E45" s="103" t="s">
        <v>53</v>
      </c>
      <c r="F45" s="103"/>
      <c r="G45" s="103"/>
      <c r="H45" s="103"/>
      <c r="I45" s="103"/>
      <c r="J45" s="108" t="s">
        <v>9</v>
      </c>
      <c r="K45" s="107">
        <f>K$42+K$43+K$44</f>
        <v>0</v>
      </c>
      <c r="L45" s="107">
        <f>L$42+L$43+L$44</f>
        <v>0</v>
      </c>
      <c r="M45" s="107">
        <f>M$42+M$43+M$44</f>
        <v>0</v>
      </c>
      <c r="N45" s="107">
        <f>N$42+N$43+N$44</f>
        <v>0</v>
      </c>
      <c r="O45" s="103"/>
      <c r="P45" s="103"/>
    </row>
    <row r="46" spans="5:16" ht="15">
      <c r="E46" s="103" t="s">
        <v>60</v>
      </c>
      <c r="F46" s="103"/>
      <c r="G46" s="103"/>
      <c r="H46" s="103"/>
      <c r="I46" s="103"/>
      <c r="J46" s="105" t="s">
        <v>10</v>
      </c>
      <c r="K46" s="109" t="str">
        <f>IFERROR(1-K44/K45,"")</f>
        <v/>
      </c>
      <c r="L46" s="109" t="str">
        <f>IFERROR(1-L44/L45,"")</f>
        <v/>
      </c>
      <c r="M46" s="109" t="str">
        <f>IFERROR(1-M44/M45,"")</f>
        <v/>
      </c>
      <c r="N46" s="109" t="str">
        <f>IFERROR(1-N44/N45,"")</f>
        <v/>
      </c>
      <c r="O46" s="103"/>
      <c r="P46" s="103"/>
    </row>
    <row r="47" spans="5:16">
      <c r="E47" s="103" t="s">
        <v>66</v>
      </c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</row>
    <row r="48" spans="5:16"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</row>
  </sheetData>
  <sheetProtection selectLockedCells="1"/>
  <mergeCells count="5">
    <mergeCell ref="J9:P9"/>
    <mergeCell ref="E22:P24"/>
    <mergeCell ref="B2:Q3"/>
    <mergeCell ref="B4:Q4"/>
    <mergeCell ref="K11:N11"/>
  </mergeCells>
  <dataValidations count="2">
    <dataValidation type="decimal" operator="greaterThanOrEqual" allowBlank="1" showInputMessage="1" showErrorMessage="1" errorTitle="Valeur attendue" error="Veuillez saisir un nombre" sqref="G13:G20" xr:uid="{FBA3ECD7-B7DC-441C-BC34-9600439A5B09}">
      <formula1>0</formula1>
    </dataValidation>
    <dataValidation type="list" allowBlank="1" showInputMessage="1" showErrorMessage="1" sqref="E12" xr:uid="{DDDD4AAD-2283-433F-997A-15E58A0EA3AC}">
      <formula1>$E$40:$E$47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F2729D6AEF146AACEDCF957784D2B" ma:contentTypeVersion="15" ma:contentTypeDescription="Crée un document." ma:contentTypeScope="" ma:versionID="08bcc327e92b1a2345a51dba8abf2cdb">
  <xsd:schema xmlns:xsd="http://www.w3.org/2001/XMLSchema" xmlns:xs="http://www.w3.org/2001/XMLSchema" xmlns:p="http://schemas.microsoft.com/office/2006/metadata/properties" xmlns:ns3="a08703d9-189e-49a1-acd4-e7492473d727" xmlns:ns4="051f3682-633f-469e-84c2-355c5c1bc309" targetNamespace="http://schemas.microsoft.com/office/2006/metadata/properties" ma:root="true" ma:fieldsID="044eda51865a700705c0b5d8d579ad14" ns3:_="" ns4:_="">
    <xsd:import namespace="a08703d9-189e-49a1-acd4-e7492473d727"/>
    <xsd:import namespace="051f3682-633f-469e-84c2-355c5c1bc30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03d9-189e-49a1-acd4-e7492473d72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f3682-633f-469e-84c2-355c5c1bc30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08703d9-189e-49a1-acd4-e7492473d7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ED0FC-E3DD-4D5F-94C4-5FC5BD709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8703d9-189e-49a1-acd4-e7492473d727"/>
    <ds:schemaRef ds:uri="051f3682-633f-469e-84c2-355c5c1bc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9C2BC-2CD6-4324-9C6E-7BC36CE94CDF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51f3682-633f-469e-84c2-355c5c1bc309"/>
    <ds:schemaRef ds:uri="http://purl.org/dc/elements/1.1/"/>
    <ds:schemaRef ds:uri="a08703d9-189e-49a1-acd4-e7492473d72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75F182-04E6-4FAA-9498-8F5C28FFF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Garantie</vt:lpstr>
      <vt:lpstr>Simulateur</vt:lpstr>
      <vt:lpstr>PMSS</vt:lpstr>
      <vt:lpstr>Poste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Sylla YAYA</dc:creator>
  <cp:lastModifiedBy>GHARBI Rim</cp:lastModifiedBy>
  <dcterms:created xsi:type="dcterms:W3CDTF">2025-02-27T16:01:19Z</dcterms:created>
  <dcterms:modified xsi:type="dcterms:W3CDTF">2025-11-26T15:39:54Z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0x0101005A0F2729D6AEF146AACEDCF957784D2B</vt:lpwstr>
  </property>
  <property fmtid="{D5CDD505-2E9C-101B-9397-08002B2CF9AE}" pid="3" name="MSIP_Label_4cad6431-53ea-4466-8111-3fefa470bcb9_Enabled">
    <vt:lpwstr>true</vt:lpwstr>
  </property>
  <property fmtid="{D5CDD505-2E9C-101B-9397-08002B2CF9AE}" pid="4" name="MSIP_Label_4cad6431-53ea-4466-8111-3fefa470bcb9_SetDate">
    <vt:lpwstr>2025-11-26T15:36:49Z</vt:lpwstr>
  </property>
  <property fmtid="{D5CDD505-2E9C-101B-9397-08002B2CF9AE}" pid="5" name="MSIP_Label_4cad6431-53ea-4466-8111-3fefa470bcb9_Method">
    <vt:lpwstr>Privileged</vt:lpwstr>
  </property>
  <property fmtid="{D5CDD505-2E9C-101B-9397-08002B2CF9AE}" pid="6" name="MSIP_Label_4cad6431-53ea-4466-8111-3fefa470bcb9_Name">
    <vt:lpwstr>Usage Interne</vt:lpwstr>
  </property>
  <property fmtid="{D5CDD505-2E9C-101B-9397-08002B2CF9AE}" pid="7" name="MSIP_Label_4cad6431-53ea-4466-8111-3fefa470bcb9_SiteId">
    <vt:lpwstr>fb3baf17-c313-474c-8d5d-577a3ec97a32</vt:lpwstr>
  </property>
  <property fmtid="{D5CDD505-2E9C-101B-9397-08002B2CF9AE}" pid="8" name="MSIP_Label_4cad6431-53ea-4466-8111-3fefa470bcb9_ActionId">
    <vt:lpwstr>0c6cb5c6-f06b-4db5-8614-5b5531ed91ae</vt:lpwstr>
  </property>
  <property fmtid="{D5CDD505-2E9C-101B-9397-08002B2CF9AE}" pid="9" name="MSIP_Label_4cad6431-53ea-4466-8111-3fefa470bcb9_ContentBits">
    <vt:lpwstr>0</vt:lpwstr>
  </property>
  <property fmtid="{D5CDD505-2E9C-101B-9397-08002B2CF9AE}" pid="10" name="MSIP_Label_4cad6431-53ea-4466-8111-3fefa470bcb9_Tag">
    <vt:lpwstr>10, 0, 1, 1</vt:lpwstr>
  </property>
</Properties>
</file>